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17" activeTab="0"/>
  </bookViews>
  <sheets>
    <sheet name="бюджет" sheetId="1" r:id="rId1"/>
  </sheets>
  <definedNames/>
  <calcPr fullCalcOnLoad="1"/>
</workbook>
</file>

<file path=xl/sharedStrings.xml><?xml version="1.0" encoding="utf-8"?>
<sst xmlns="http://schemas.openxmlformats.org/spreadsheetml/2006/main" count="247" uniqueCount="231">
  <si>
    <t xml:space="preserve">з них </t>
  </si>
  <si>
    <t>оплата</t>
  </si>
  <si>
    <t>праці</t>
  </si>
  <si>
    <t>енергоносії</t>
  </si>
  <si>
    <t>бюджет</t>
  </si>
  <si>
    <t>розвитку</t>
  </si>
  <si>
    <t>РАЗОМ</t>
  </si>
  <si>
    <t>010116</t>
  </si>
  <si>
    <t>Органи місцевого самоврядування</t>
  </si>
  <si>
    <t>090302</t>
  </si>
  <si>
    <t>090303</t>
  </si>
  <si>
    <t>090304</t>
  </si>
  <si>
    <t>090305</t>
  </si>
  <si>
    <t>090405</t>
  </si>
  <si>
    <t>090412</t>
  </si>
  <si>
    <t>091103</t>
  </si>
  <si>
    <t>180404</t>
  </si>
  <si>
    <t>250102</t>
  </si>
  <si>
    <t>Резервний фонд</t>
  </si>
  <si>
    <t>150101</t>
  </si>
  <si>
    <t>Капітальні вкладення</t>
  </si>
  <si>
    <t>240604</t>
  </si>
  <si>
    <t>010000</t>
  </si>
  <si>
    <t>070000</t>
  </si>
  <si>
    <t>Освіта</t>
  </si>
  <si>
    <t>080000</t>
  </si>
  <si>
    <t>Охорона здоров"я</t>
  </si>
  <si>
    <t>090000</t>
  </si>
  <si>
    <t>091300</t>
  </si>
  <si>
    <t>Благоустрій міст, сіл, селищ</t>
  </si>
  <si>
    <t>Культура і мистецтво</t>
  </si>
  <si>
    <t>120000</t>
  </si>
  <si>
    <t>Засоби масової інформації</t>
  </si>
  <si>
    <t>130000</t>
  </si>
  <si>
    <t>Фізична культура та спорт</t>
  </si>
  <si>
    <t>150000</t>
  </si>
  <si>
    <t>Будівництво</t>
  </si>
  <si>
    <t>170000</t>
  </si>
  <si>
    <t>Транспорт, дорожнє господарство</t>
  </si>
  <si>
    <t>180000</t>
  </si>
  <si>
    <t>240000</t>
  </si>
  <si>
    <t>РАЗОМ ВИДАТКІВ</t>
  </si>
  <si>
    <t>Капітальний ремонт житлового фонду</t>
  </si>
  <si>
    <t>Соц. захист та соц. забезпечення</t>
  </si>
  <si>
    <t>Житлово-комунальне господарство</t>
  </si>
  <si>
    <t>Державне управління</t>
  </si>
  <si>
    <t>090306</t>
  </si>
  <si>
    <t>090401</t>
  </si>
  <si>
    <t>091209</t>
  </si>
  <si>
    <t>Цільові фонди</t>
  </si>
  <si>
    <t>090201</t>
  </si>
  <si>
    <t>090202</t>
  </si>
  <si>
    <t>090204</t>
  </si>
  <si>
    <t>090207</t>
  </si>
  <si>
    <t>090208</t>
  </si>
  <si>
    <t>090209</t>
  </si>
  <si>
    <t>250000</t>
  </si>
  <si>
    <t>Допомога на дітей одиноким матерям</t>
  </si>
  <si>
    <t>Видатки, не віднесені до основних груп</t>
  </si>
  <si>
    <t>091204</t>
  </si>
  <si>
    <t>зв"язок, телекомунікації та інформатика</t>
  </si>
  <si>
    <t>170601</t>
  </si>
  <si>
    <t>Регулювання цін на послуги міського електротранспорту</t>
  </si>
  <si>
    <t>170602</t>
  </si>
  <si>
    <t>170703</t>
  </si>
  <si>
    <t>Інші послуги, пов"язані з економічною  діяльністю</t>
  </si>
  <si>
    <t>Підтримка малого та середнього  бізнесу</t>
  </si>
  <si>
    <t>ВСЬОГО</t>
  </si>
  <si>
    <t>ГРН.</t>
  </si>
  <si>
    <t>090210</t>
  </si>
  <si>
    <t>Інші видатки</t>
  </si>
  <si>
    <t>091101</t>
  </si>
  <si>
    <t>091102</t>
  </si>
  <si>
    <t>091105</t>
  </si>
  <si>
    <t>091106</t>
  </si>
  <si>
    <t>Утримання клубів підлітків за місцем проживання</t>
  </si>
  <si>
    <t>100102</t>
  </si>
  <si>
    <t>110000</t>
  </si>
  <si>
    <t>100000</t>
  </si>
  <si>
    <t>090307</t>
  </si>
  <si>
    <t>Тимчасова державна допомога дітям</t>
  </si>
  <si>
    <t>Державна соц. допомога інвалідам з дитинства та дітям-інвалідам</t>
  </si>
  <si>
    <t>250404</t>
  </si>
  <si>
    <t>170302</t>
  </si>
  <si>
    <t>090203</t>
  </si>
  <si>
    <t>090214</t>
  </si>
  <si>
    <t>споживання</t>
  </si>
  <si>
    <t>комунальні</t>
  </si>
  <si>
    <t>послуги та</t>
  </si>
  <si>
    <t>з них</t>
  </si>
  <si>
    <t>240900</t>
  </si>
  <si>
    <t xml:space="preserve">     Додаток  2</t>
  </si>
  <si>
    <t>Секретар ради</t>
  </si>
  <si>
    <t>090308</t>
  </si>
  <si>
    <t>Допомога при усиновленні дитини</t>
  </si>
  <si>
    <t>090414</t>
  </si>
  <si>
    <t>180409</t>
  </si>
  <si>
    <t>090215</t>
  </si>
  <si>
    <t>Пільги багатодітним сім'ям на житлово-комунальні послуги</t>
  </si>
  <si>
    <t>070101</t>
  </si>
  <si>
    <t>Дошкільні заклади освіти</t>
  </si>
  <si>
    <t>070201</t>
  </si>
  <si>
    <t>Загальноосвітні школи</t>
  </si>
  <si>
    <t>070202</t>
  </si>
  <si>
    <t>Вечірні школи</t>
  </si>
  <si>
    <t>070303</t>
  </si>
  <si>
    <t>070304</t>
  </si>
  <si>
    <t>070401</t>
  </si>
  <si>
    <t>Позашкільні заклади освіти</t>
  </si>
  <si>
    <t>070802</t>
  </si>
  <si>
    <t>Методична робота, інші заходи у сфері освіти</t>
  </si>
  <si>
    <t>070804</t>
  </si>
  <si>
    <t>Централізовані бухгалтерії</t>
  </si>
  <si>
    <t>070805</t>
  </si>
  <si>
    <t>Групи господарського обслуговування</t>
  </si>
  <si>
    <t>070806</t>
  </si>
  <si>
    <t>Інші заклади освіти</t>
  </si>
  <si>
    <t>070807</t>
  </si>
  <si>
    <t>Інші освітні програми</t>
  </si>
  <si>
    <t>070808</t>
  </si>
  <si>
    <t>080101</t>
  </si>
  <si>
    <t>Лікарні</t>
  </si>
  <si>
    <t>080102</t>
  </si>
  <si>
    <t>Територіальні медичні об"єднання</t>
  </si>
  <si>
    <t>080203</t>
  </si>
  <si>
    <t>Пологовий будинок</t>
  </si>
  <si>
    <t>080300</t>
  </si>
  <si>
    <t>Поліклініки і амбулаторії</t>
  </si>
  <si>
    <t>080500</t>
  </si>
  <si>
    <t>Загальні і спеціалізовані стоматологічні поліклініки</t>
  </si>
  <si>
    <t>081002</t>
  </si>
  <si>
    <t>Інші заходи по охороні здоров"я</t>
  </si>
  <si>
    <t>110103</t>
  </si>
  <si>
    <t>Філармонії, музичні колективи і ансамблі та інші мистецькі заходи</t>
  </si>
  <si>
    <t>110201</t>
  </si>
  <si>
    <t>Бібліотеки</t>
  </si>
  <si>
    <t>110205</t>
  </si>
  <si>
    <t>Школи естетичного виховання</t>
  </si>
  <si>
    <t>110502</t>
  </si>
  <si>
    <t xml:space="preserve">Інші заклади </t>
  </si>
  <si>
    <t>120100</t>
  </si>
  <si>
    <t>Телебачення і радіомовлення</t>
  </si>
  <si>
    <t>120201</t>
  </si>
  <si>
    <t>Періодичні видання</t>
  </si>
  <si>
    <t>130102</t>
  </si>
  <si>
    <t>Проведення навчально-тренувальних зборів і змагань</t>
  </si>
  <si>
    <t>130107</t>
  </si>
  <si>
    <t>Утримання та навчально-тренувальна робота ДЮСШ</t>
  </si>
  <si>
    <t>130112</t>
  </si>
  <si>
    <t>реконструкцією, ремонтом та утриманням автомобільних доріг</t>
  </si>
  <si>
    <t>Видатки на проведення робіт, пов"язаних із будівництвом,</t>
  </si>
  <si>
    <t>розумовому розвитку</t>
  </si>
  <si>
    <t xml:space="preserve">Спеціальні загальноосвітні школи для дітей з вадами у </t>
  </si>
  <si>
    <t>піклування, яким виповнилося 18 років</t>
  </si>
  <si>
    <t xml:space="preserve">Допомога дітям сиротам та дітям, позбавлених батьківського </t>
  </si>
  <si>
    <t>середовища</t>
  </si>
  <si>
    <t xml:space="preserve">Інша діяльність у сфері охорони навколишнього природного </t>
  </si>
  <si>
    <t xml:space="preserve">до рішення  міської ради </t>
  </si>
  <si>
    <t>090406</t>
  </si>
  <si>
    <t>Субсидії населенню для відшкодування витрат на придбання твердого та рідкого пічного побутового палива і скрапленого газу</t>
  </si>
  <si>
    <t>О.Б.Олійник</t>
  </si>
  <si>
    <t>за тимчасовою класифікацією видатків та кредитування місцевих бюджетів</t>
  </si>
  <si>
    <t>Код тимч.класиф. видатків та кредитув. місц.бюджетів</t>
  </si>
  <si>
    <t>Найменування коду тимчасової</t>
  </si>
  <si>
    <t>класифікації видатків та кредитування</t>
  </si>
  <si>
    <t>місцевих бюджетів</t>
  </si>
  <si>
    <t xml:space="preserve">       Видатки загального фонду</t>
  </si>
  <si>
    <t>13 (гр3+гр6)</t>
  </si>
  <si>
    <t xml:space="preserve">                                                               Видатки спеціального фонду </t>
  </si>
  <si>
    <t xml:space="preserve">                 з них</t>
  </si>
  <si>
    <t>090802</t>
  </si>
  <si>
    <t>капіт.видатки за рах.коштів, що передаються із заг.фонду до бюдж.розвитку ( спец.фонду)</t>
  </si>
  <si>
    <t>ВСЬОГО ВИДАТКІВ:</t>
  </si>
  <si>
    <t>Міжбюджетні трансферти - всього:</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</si>
  <si>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</si>
  <si>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</si>
  <si>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</si>
  <si>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</si>
  <si>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Державна соціальна допомога малозабезпеченим сім'ям</t>
  </si>
  <si>
    <t>Субсидії населенню для відшкодування витрат на оплату житлово-комунальних послуг</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</si>
  <si>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</si>
  <si>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Компенсаційні виплати на пільговий проїзд електротранспортом окремим категоріям громадян</t>
  </si>
  <si>
    <t>Внески до статутних фондів</t>
  </si>
  <si>
    <t>091205</t>
  </si>
  <si>
    <t>130115</t>
  </si>
  <si>
    <t>Центр "Спорт для всіх" та заходи з фізичної культури</t>
  </si>
  <si>
    <t>090700</t>
  </si>
  <si>
    <t>Утримання закладів, що надають соціальні послуги дітям, які опинилися в складних життєвих обставинах</t>
  </si>
  <si>
    <t>Виплати грошової компенсації фізичним особам, які надають соціальні послуги громадянам похилого віку, інвалдам, дітям-інвалідам, хворим які не здатні до самообслуговування і потребують сторонньої допомоги</t>
  </si>
  <si>
    <t>Дитячі будинки (в т.ч. сімейного типу, прийомні сім’ї)</t>
  </si>
  <si>
    <t>Інші програми соціального захисту дітей</t>
  </si>
  <si>
    <t>Територіальні центри соціального обслуговування (надання соціальних послуг)</t>
  </si>
  <si>
    <t>Фінансова пітримка громадських організацій інвалідів і ветеранів</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</si>
  <si>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</si>
  <si>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</si>
  <si>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</si>
  <si>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охорони,ветеранам Державної крімінально-виконавчої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крімінально-виконавчої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крімінально-виконавчої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крімінально-виконавчої системи,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</si>
  <si>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четвертою ст.29 Основ законодавства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</si>
  <si>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Інші видатки на соціальний захист населення</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</si>
  <si>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</si>
  <si>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</si>
  <si>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</si>
  <si>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</si>
  <si>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r>
      <t>Утримання центрів соціальних служб для сім</t>
    </r>
    <r>
      <rPr>
        <sz val="9"/>
        <rFont val="Arial Cyr"/>
        <family val="0"/>
      </rPr>
      <t>’</t>
    </r>
    <r>
      <rPr>
        <sz val="9"/>
        <rFont val="Arial Cyr"/>
        <family val="2"/>
      </rPr>
      <t>ї, дітей та молоді</t>
    </r>
  </si>
  <si>
    <t>Соціальні програми і заходи державних органів у справах молоді</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</si>
  <si>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</si>
  <si>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150122</t>
  </si>
  <si>
    <t>Інвестиційні проекти</t>
  </si>
  <si>
    <t>Компенсаційні виплати на пільговий проїзд окремих категорій громадян на залізничому транспорті</t>
  </si>
  <si>
    <t>091108</t>
  </si>
  <si>
    <t>Програми та заходи з відпочинку дітей</t>
  </si>
  <si>
    <t>170102</t>
  </si>
  <si>
    <t>Компенсаційні виплати на пільговий проїзд автомобільним транспортом окремим категорім громадян</t>
  </si>
  <si>
    <t>Видатки на проведення робіт, пов"язаних із будівництвом, реконструкцією, ремонтом та утриманням автомобільних доріг</t>
  </si>
  <si>
    <t>081008</t>
  </si>
  <si>
    <t>Програми і централізовані заходи профілактики СНІДу</t>
  </si>
  <si>
    <t>090212</t>
  </si>
  <si>
    <t>091206</t>
  </si>
  <si>
    <t>Центри соціальної реабілітації дітей-інвалідів</t>
  </si>
  <si>
    <t>Пільги на медичне обслуговування громадян, які постраждали внаслідок Чорнобильської катастрофи</t>
  </si>
  <si>
    <t>150202</t>
  </si>
  <si>
    <t>Розробка схем та рішень масового застосування</t>
  </si>
  <si>
    <t>080800</t>
  </si>
  <si>
    <t>Центри первинної медичної (медико-санітарної) допомоги</t>
  </si>
  <si>
    <t>Видатки бюджету м.Біла Церква на 2013 рік</t>
  </si>
  <si>
    <r>
      <t>Програми і заходи центрів соціальних служб для сім</t>
    </r>
    <r>
      <rPr>
        <sz val="9"/>
        <rFont val="Arial Cyr"/>
        <family val="0"/>
      </rPr>
      <t>’</t>
    </r>
    <r>
      <rPr>
        <sz val="9"/>
        <rFont val="Arial Cyr"/>
        <family val="2"/>
      </rPr>
      <t xml:space="preserve">ї дітей та молоді </t>
    </r>
  </si>
  <si>
    <t>081006</t>
  </si>
  <si>
    <t>081007</t>
  </si>
  <si>
    <t>Програми і централізовані заходи з імунопрофілактики</t>
  </si>
  <si>
    <t>Програми і централізовані заходи боротьби з туберкульозом</t>
  </si>
  <si>
    <t xml:space="preserve"> від   25.12.2012 р.№ 849-35 -VІ</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</si>
</sst>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4">
    <font>
      <sz val="10"/>
      <name val="Arial Cyr"/>
      <family val="0"/>
    </font>
    <font>
      <b/>
      <sz val="8"/>
      <name val="Arial Cyr"/>
      <family val="2"/>
    </font>
    <font>
      <b/>
      <sz val="10"/>
      <name val="Arial Cyr"/>
      <family val="2"/>
    </font>
    <font>
      <sz val="9"/>
      <name val="Arial Cyr"/>
      <family val="2"/>
    </font>
    <font>
      <b/>
      <sz val="9"/>
      <name val="Arial Cyr"/>
      <family val="2"/>
    </font>
    <font>
      <sz val="8"/>
      <name val="Arial Cyr"/>
      <family val="2"/>
    </font>
    <font>
      <sz val="12"/>
      <name val="Arial Cyr"/>
      <family val="2"/>
    </font>
    <font>
      <b/>
      <i/>
      <sz val="12"/>
      <name val="Arial Cyr"/>
      <family val="2"/>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thin"/>
      <top style="thin"/>
      <bottom style="thin"/>
    </border>
    <border>
      <left style="medium"/>
      <right style="thin"/>
      <top style="medium"/>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style="thin"/>
      <right style="thin"/>
      <top style="medium"/>
      <bottom style="thin"/>
    </border>
    <border>
      <left>
        <color indexed="63"/>
      </left>
      <right style="medium"/>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medium"/>
    </border>
    <border>
      <left style="thin"/>
      <right style="medium"/>
      <top style="thin"/>
      <bottom>
        <color indexed="63"/>
      </bottom>
    </border>
    <border>
      <left style="thin"/>
      <right>
        <color indexed="63"/>
      </right>
      <top style="medium"/>
      <bottom style="thin"/>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style="medium"/>
      <bottom style="medium"/>
    </border>
    <border>
      <left>
        <color indexed="63"/>
      </left>
      <right style="medium"/>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thin"/>
      <top style="thin"/>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style="thin"/>
      <bottom>
        <color indexed="63"/>
      </bottom>
    </border>
    <border>
      <left>
        <color indexed="63"/>
      </left>
      <right style="medium"/>
      <top style="thin"/>
      <bottom>
        <color indexed="63"/>
      </bottom>
    </border>
    <border>
      <left style="medium"/>
      <right style="medium"/>
      <top style="medium"/>
      <bottom style="medium"/>
    </border>
    <border>
      <left style="thin"/>
      <right style="medium"/>
      <top style="medium"/>
      <bottom style="thin"/>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322">
    <xf numFmtId="0" fontId="0" fillId="0" borderId="0" xfId="0" applyAlignment="1">
      <alignment/>
    </xf>
    <xf numFmtId="0" fontId="1" fillId="0" borderId="10" xfId="0" applyFont="1" applyBorder="1" applyAlignment="1">
      <alignment/>
    </xf>
    <xf numFmtId="0" fontId="1" fillId="0" borderId="0" xfId="0" applyFont="1" applyBorder="1" applyAlignment="1">
      <alignment/>
    </xf>
    <xf numFmtId="0" fontId="2"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2" fillId="0" borderId="16" xfId="0" applyFont="1" applyBorder="1" applyAlignment="1">
      <alignment/>
    </xf>
    <xf numFmtId="0" fontId="1" fillId="0" borderId="16" xfId="0" applyFont="1" applyBorder="1" applyAlignment="1">
      <alignment horizontal="center"/>
    </xf>
    <xf numFmtId="0" fontId="1" fillId="0" borderId="0" xfId="0" applyFont="1" applyBorder="1" applyAlignment="1">
      <alignment horizontal="center"/>
    </xf>
    <xf numFmtId="0" fontId="2" fillId="0" borderId="17" xfId="0" applyFont="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7" xfId="0" applyFont="1" applyBorder="1" applyAlignment="1">
      <alignment/>
    </xf>
    <xf numFmtId="0" fontId="2" fillId="0" borderId="19" xfId="0" applyFont="1" applyBorder="1" applyAlignment="1">
      <alignment horizontal="center"/>
    </xf>
    <xf numFmtId="0" fontId="1" fillId="0" borderId="10" xfId="0" applyFont="1" applyBorder="1" applyAlignment="1">
      <alignment horizontal="center"/>
    </xf>
    <xf numFmtId="0" fontId="3" fillId="0" borderId="17" xfId="0" applyFont="1" applyBorder="1" applyAlignment="1">
      <alignment/>
    </xf>
    <xf numFmtId="0" fontId="3" fillId="0" borderId="0" xfId="0"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20" xfId="0" applyFont="1" applyBorder="1" applyAlignment="1">
      <alignment/>
    </xf>
    <xf numFmtId="0" fontId="3" fillId="0" borderId="0" xfId="0" applyFont="1" applyBorder="1" applyAlignment="1">
      <alignment/>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2" fillId="0" borderId="23" xfId="0" applyNumberFormat="1"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49" fontId="2" fillId="0" borderId="26" xfId="0" applyNumberFormat="1" applyFont="1" applyBorder="1" applyAlignment="1">
      <alignment horizontal="center"/>
    </xf>
    <xf numFmtId="0" fontId="2" fillId="0" borderId="27" xfId="0" applyFont="1" applyBorder="1" applyAlignment="1">
      <alignment horizontal="center"/>
    </xf>
    <xf numFmtId="49" fontId="2" fillId="0" borderId="28" xfId="0" applyNumberFormat="1"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49" fontId="3" fillId="0" borderId="31"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34" xfId="0" applyNumberFormat="1" applyFont="1" applyBorder="1" applyAlignment="1">
      <alignment horizontal="center"/>
    </xf>
    <xf numFmtId="49" fontId="3" fillId="0" borderId="35" xfId="0" applyNumberFormat="1" applyFont="1" applyBorder="1" applyAlignment="1">
      <alignment horizontal="center"/>
    </xf>
    <xf numFmtId="0" fontId="2" fillId="0" borderId="0" xfId="0" applyFont="1" applyBorder="1" applyAlignment="1">
      <alignment horizontal="center"/>
    </xf>
    <xf numFmtId="49" fontId="0" fillId="0" borderId="0" xfId="0" applyNumberFormat="1" applyFont="1" applyBorder="1" applyAlignment="1">
      <alignment/>
    </xf>
    <xf numFmtId="49" fontId="2" fillId="0" borderId="23" xfId="0" applyNumberFormat="1" applyFont="1" applyBorder="1" applyAlignment="1">
      <alignment/>
    </xf>
    <xf numFmtId="0" fontId="3" fillId="0" borderId="14"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49" fontId="3" fillId="0" borderId="32" xfId="0" applyNumberFormat="1" applyFont="1" applyBorder="1" applyAlignment="1">
      <alignment horizontal="center"/>
    </xf>
    <xf numFmtId="49" fontId="3" fillId="0" borderId="36" xfId="0" applyNumberFormat="1" applyFont="1" applyBorder="1" applyAlignment="1">
      <alignment horizontal="center"/>
    </xf>
    <xf numFmtId="49" fontId="3" fillId="0" borderId="31" xfId="0" applyNumberFormat="1" applyFont="1" applyBorder="1" applyAlignment="1">
      <alignment horizontal="center"/>
    </xf>
    <xf numFmtId="0" fontId="3" fillId="0" borderId="37" xfId="0" applyFont="1" applyBorder="1" applyAlignment="1">
      <alignment/>
    </xf>
    <xf numFmtId="3" fontId="2" fillId="0" borderId="25" xfId="0" applyNumberFormat="1" applyFont="1" applyBorder="1" applyAlignment="1">
      <alignment/>
    </xf>
    <xf numFmtId="3" fontId="2" fillId="0" borderId="27" xfId="0" applyNumberFormat="1" applyFont="1" applyBorder="1" applyAlignment="1">
      <alignment/>
    </xf>
    <xf numFmtId="3" fontId="2" fillId="0" borderId="24" xfId="0" applyNumberFormat="1" applyFont="1" applyBorder="1" applyAlignment="1">
      <alignment/>
    </xf>
    <xf numFmtId="3" fontId="2" fillId="0" borderId="38" xfId="0" applyNumberFormat="1" applyFont="1" applyBorder="1" applyAlignment="1">
      <alignment/>
    </xf>
    <xf numFmtId="3" fontId="2" fillId="0" borderId="24" xfId="0" applyNumberFormat="1" applyFont="1" applyBorder="1" applyAlignment="1">
      <alignment/>
    </xf>
    <xf numFmtId="3" fontId="2" fillId="0" borderId="27" xfId="0" applyNumberFormat="1" applyFont="1" applyBorder="1" applyAlignment="1">
      <alignment/>
    </xf>
    <xf numFmtId="3" fontId="2" fillId="0" borderId="39" xfId="0" applyNumberFormat="1" applyFont="1" applyBorder="1" applyAlignment="1">
      <alignment/>
    </xf>
    <xf numFmtId="3" fontId="3" fillId="0" borderId="0" xfId="0" applyNumberFormat="1" applyFont="1" applyBorder="1" applyAlignment="1">
      <alignment/>
    </xf>
    <xf numFmtId="3" fontId="3" fillId="0" borderId="16" xfId="0" applyNumberFormat="1" applyFont="1" applyBorder="1" applyAlignment="1">
      <alignment/>
    </xf>
    <xf numFmtId="3" fontId="4" fillId="0" borderId="16" xfId="0" applyNumberFormat="1" applyFont="1" applyBorder="1" applyAlignment="1">
      <alignment/>
    </xf>
    <xf numFmtId="3" fontId="3" fillId="0" borderId="14" xfId="0" applyNumberFormat="1" applyFont="1" applyBorder="1" applyAlignment="1">
      <alignment/>
    </xf>
    <xf numFmtId="3" fontId="3" fillId="0" borderId="18" xfId="0" applyNumberFormat="1" applyFont="1" applyBorder="1" applyAlignment="1">
      <alignment/>
    </xf>
    <xf numFmtId="3" fontId="3" fillId="0" borderId="17" xfId="0" applyNumberFormat="1" applyFont="1" applyBorder="1" applyAlignment="1">
      <alignment/>
    </xf>
    <xf numFmtId="3" fontId="3" fillId="0" borderId="40" xfId="0" applyNumberFormat="1" applyFont="1" applyBorder="1" applyAlignment="1">
      <alignment/>
    </xf>
    <xf numFmtId="3" fontId="3" fillId="0" borderId="16" xfId="0" applyNumberFormat="1"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3" fontId="3" fillId="0" borderId="13" xfId="0" applyNumberFormat="1" applyFont="1" applyBorder="1" applyAlignment="1">
      <alignment/>
    </xf>
    <xf numFmtId="3" fontId="3" fillId="0" borderId="20" xfId="0" applyNumberFormat="1" applyFont="1" applyBorder="1" applyAlignment="1">
      <alignment/>
    </xf>
    <xf numFmtId="3" fontId="3" fillId="0" borderId="41" xfId="0" applyNumberFormat="1" applyFont="1" applyBorder="1" applyAlignment="1">
      <alignment/>
    </xf>
    <xf numFmtId="3" fontId="3" fillId="0" borderId="20" xfId="0" applyNumberFormat="1" applyFont="1" applyBorder="1" applyAlignment="1">
      <alignment/>
    </xf>
    <xf numFmtId="3" fontId="3" fillId="0" borderId="42" xfId="0" applyNumberFormat="1" applyFont="1" applyBorder="1" applyAlignment="1">
      <alignment/>
    </xf>
    <xf numFmtId="3" fontId="3" fillId="0" borderId="12" xfId="0" applyNumberFormat="1" applyFont="1" applyBorder="1" applyAlignment="1">
      <alignment/>
    </xf>
    <xf numFmtId="3" fontId="3" fillId="0" borderId="37" xfId="0" applyNumberFormat="1" applyFont="1" applyBorder="1" applyAlignment="1">
      <alignment/>
    </xf>
    <xf numFmtId="3" fontId="3" fillId="0" borderId="43" xfId="0" applyNumberFormat="1" applyFont="1" applyBorder="1" applyAlignment="1">
      <alignment/>
    </xf>
    <xf numFmtId="3" fontId="2" fillId="0" borderId="29" xfId="0" applyNumberFormat="1" applyFont="1" applyBorder="1" applyAlignment="1">
      <alignment/>
    </xf>
    <xf numFmtId="3" fontId="2" fillId="0" borderId="44" xfId="0" applyNumberFormat="1" applyFont="1" applyBorder="1" applyAlignment="1">
      <alignment/>
    </xf>
    <xf numFmtId="3" fontId="3" fillId="0" borderId="45" xfId="0" applyNumberFormat="1" applyFont="1" applyBorder="1" applyAlignment="1">
      <alignment/>
    </xf>
    <xf numFmtId="3" fontId="3" fillId="0" borderId="46" xfId="0" applyNumberFormat="1" applyFont="1" applyBorder="1" applyAlignment="1">
      <alignment/>
    </xf>
    <xf numFmtId="3" fontId="2" fillId="0" borderId="30" xfId="0" applyNumberFormat="1" applyFont="1" applyBorder="1" applyAlignment="1">
      <alignment/>
    </xf>
    <xf numFmtId="3" fontId="3" fillId="0" borderId="41" xfId="0" applyNumberFormat="1" applyFont="1" applyBorder="1" applyAlignment="1">
      <alignment/>
    </xf>
    <xf numFmtId="3" fontId="2" fillId="0" borderId="47" xfId="0" applyNumberFormat="1" applyFont="1" applyBorder="1" applyAlignment="1">
      <alignment/>
    </xf>
    <xf numFmtId="3" fontId="3" fillId="0" borderId="10" xfId="0" applyNumberFormat="1" applyFont="1" applyBorder="1" applyAlignment="1">
      <alignment/>
    </xf>
    <xf numFmtId="3" fontId="3" fillId="0" borderId="40" xfId="0" applyNumberFormat="1" applyFont="1" applyBorder="1" applyAlignment="1">
      <alignment/>
    </xf>
    <xf numFmtId="3" fontId="3" fillId="0" borderId="15" xfId="0" applyNumberFormat="1" applyFont="1" applyBorder="1" applyAlignment="1">
      <alignment/>
    </xf>
    <xf numFmtId="3" fontId="3" fillId="0" borderId="48" xfId="0" applyNumberFormat="1" applyFont="1" applyBorder="1" applyAlignment="1">
      <alignment/>
    </xf>
    <xf numFmtId="3" fontId="3" fillId="0" borderId="18" xfId="0" applyNumberFormat="1" applyFont="1" applyBorder="1" applyAlignment="1">
      <alignment/>
    </xf>
    <xf numFmtId="3" fontId="3" fillId="0" borderId="12" xfId="0" applyNumberFormat="1" applyFont="1" applyBorder="1" applyAlignment="1">
      <alignment/>
    </xf>
    <xf numFmtId="3" fontId="3" fillId="0" borderId="43" xfId="0" applyNumberFormat="1" applyFont="1" applyBorder="1" applyAlignment="1">
      <alignment/>
    </xf>
    <xf numFmtId="3" fontId="3" fillId="0" borderId="37" xfId="0" applyNumberFormat="1" applyFont="1" applyBorder="1" applyAlignment="1">
      <alignment/>
    </xf>
    <xf numFmtId="3" fontId="3" fillId="0" borderId="49" xfId="0" applyNumberFormat="1" applyFont="1" applyBorder="1" applyAlignment="1">
      <alignment/>
    </xf>
    <xf numFmtId="3" fontId="3" fillId="0" borderId="16" xfId="0" applyNumberFormat="1" applyFont="1" applyBorder="1" applyAlignment="1">
      <alignment/>
    </xf>
    <xf numFmtId="3" fontId="3" fillId="0" borderId="0" xfId="0" applyNumberFormat="1" applyFont="1" applyBorder="1" applyAlignment="1">
      <alignment/>
    </xf>
    <xf numFmtId="3" fontId="3" fillId="0" borderId="10" xfId="0" applyNumberFormat="1" applyFont="1" applyBorder="1" applyAlignment="1">
      <alignment/>
    </xf>
    <xf numFmtId="3" fontId="2" fillId="0" borderId="24" xfId="0" applyNumberFormat="1" applyFont="1" applyBorder="1" applyAlignment="1">
      <alignment/>
    </xf>
    <xf numFmtId="0" fontId="2" fillId="0" borderId="16" xfId="0" applyFont="1" applyBorder="1" applyAlignment="1">
      <alignment horizontal="center"/>
    </xf>
    <xf numFmtId="0" fontId="1" fillId="0" borderId="50" xfId="0" applyFont="1" applyBorder="1" applyAlignment="1">
      <alignment horizontal="center"/>
    </xf>
    <xf numFmtId="0" fontId="2" fillId="0" borderId="51" xfId="0" applyFont="1" applyBorder="1" applyAlignment="1">
      <alignment/>
    </xf>
    <xf numFmtId="0" fontId="2" fillId="0" borderId="40" xfId="0" applyFont="1" applyBorder="1" applyAlignment="1">
      <alignment/>
    </xf>
    <xf numFmtId="0" fontId="2" fillId="0" borderId="11" xfId="0" applyFont="1" applyBorder="1" applyAlignment="1">
      <alignment horizontal="center"/>
    </xf>
    <xf numFmtId="49" fontId="3" fillId="0" borderId="52" xfId="0" applyNumberFormat="1" applyFont="1" applyBorder="1" applyAlignment="1">
      <alignment/>
    </xf>
    <xf numFmtId="0" fontId="2" fillId="0" borderId="53" xfId="0" applyFont="1" applyBorder="1" applyAlignment="1">
      <alignment/>
    </xf>
    <xf numFmtId="0" fontId="0" fillId="0" borderId="51" xfId="0" applyBorder="1" applyAlignment="1">
      <alignment/>
    </xf>
    <xf numFmtId="0" fontId="3" fillId="0" borderId="42" xfId="0" applyFont="1" applyBorder="1" applyAlignment="1">
      <alignment/>
    </xf>
    <xf numFmtId="3" fontId="3" fillId="0" borderId="17" xfId="0" applyNumberFormat="1" applyFont="1" applyBorder="1" applyAlignment="1">
      <alignment/>
    </xf>
    <xf numFmtId="3" fontId="3" fillId="0" borderId="54" xfId="0" applyNumberFormat="1" applyFont="1" applyBorder="1" applyAlignment="1">
      <alignment/>
    </xf>
    <xf numFmtId="3" fontId="2" fillId="0" borderId="55" xfId="0" applyNumberFormat="1" applyFont="1" applyBorder="1" applyAlignment="1">
      <alignment/>
    </xf>
    <xf numFmtId="0" fontId="3" fillId="0" borderId="18" xfId="0" applyFont="1" applyBorder="1" applyAlignment="1">
      <alignment/>
    </xf>
    <xf numFmtId="3" fontId="3" fillId="0" borderId="17" xfId="0" applyNumberFormat="1" applyFont="1" applyBorder="1" applyAlignment="1">
      <alignment/>
    </xf>
    <xf numFmtId="3" fontId="3" fillId="0" borderId="18" xfId="0" applyNumberFormat="1" applyFont="1" applyBorder="1" applyAlignment="1">
      <alignment/>
    </xf>
    <xf numFmtId="3" fontId="3" fillId="0" borderId="29" xfId="0" applyNumberFormat="1" applyFont="1" applyBorder="1" applyAlignment="1">
      <alignment/>
    </xf>
    <xf numFmtId="0" fontId="1" fillId="0" borderId="52" xfId="0" applyFont="1" applyBorder="1" applyAlignment="1">
      <alignment horizontal="center"/>
    </xf>
    <xf numFmtId="0" fontId="1" fillId="0" borderId="56" xfId="0" applyFont="1" applyBorder="1" applyAlignment="1">
      <alignment horizontal="center"/>
    </xf>
    <xf numFmtId="0" fontId="3" fillId="0" borderId="57" xfId="0" applyFont="1" applyBorder="1" applyAlignment="1">
      <alignment/>
    </xf>
    <xf numFmtId="3" fontId="3" fillId="0" borderId="30" xfId="0" applyNumberFormat="1" applyFont="1" applyBorder="1" applyAlignment="1">
      <alignment/>
    </xf>
    <xf numFmtId="3" fontId="3" fillId="0" borderId="47" xfId="0" applyNumberFormat="1" applyFont="1" applyBorder="1" applyAlignment="1">
      <alignment/>
    </xf>
    <xf numFmtId="0" fontId="3" fillId="0" borderId="34" xfId="0" applyFont="1" applyBorder="1" applyAlignment="1">
      <alignment horizontal="center"/>
    </xf>
    <xf numFmtId="49" fontId="3" fillId="0" borderId="52" xfId="0" applyNumberFormat="1" applyFont="1" applyBorder="1" applyAlignment="1">
      <alignment horizontal="center"/>
    </xf>
    <xf numFmtId="0" fontId="3" fillId="0" borderId="43" xfId="0" applyFont="1" applyBorder="1" applyAlignment="1">
      <alignment/>
    </xf>
    <xf numFmtId="3" fontId="3" fillId="0" borderId="58" xfId="0" applyNumberFormat="1" applyFont="1" applyBorder="1" applyAlignment="1">
      <alignment/>
    </xf>
    <xf numFmtId="0" fontId="5" fillId="0" borderId="30" xfId="0" applyFont="1" applyBorder="1" applyAlignment="1">
      <alignment/>
    </xf>
    <xf numFmtId="3" fontId="3" fillId="0" borderId="19" xfId="0" applyNumberFormat="1" applyFont="1" applyBorder="1" applyAlignment="1">
      <alignment/>
    </xf>
    <xf numFmtId="0" fontId="2" fillId="0" borderId="29" xfId="0" applyFont="1" applyBorder="1" applyAlignment="1">
      <alignment/>
    </xf>
    <xf numFmtId="3" fontId="3" fillId="0" borderId="59" xfId="0" applyNumberFormat="1" applyFont="1" applyBorder="1" applyAlignment="1">
      <alignment/>
    </xf>
    <xf numFmtId="3" fontId="3" fillId="0" borderId="60" xfId="0" applyNumberFormat="1" applyFont="1" applyBorder="1" applyAlignment="1">
      <alignment/>
    </xf>
    <xf numFmtId="49" fontId="3" fillId="0" borderId="28" xfId="0" applyNumberFormat="1" applyFont="1" applyBorder="1" applyAlignment="1">
      <alignment horizontal="center"/>
    </xf>
    <xf numFmtId="0" fontId="3" fillId="0" borderId="29" xfId="0" applyFont="1" applyBorder="1" applyAlignment="1">
      <alignment horizontal="left"/>
    </xf>
    <xf numFmtId="3" fontId="2" fillId="0" borderId="39" xfId="0" applyNumberFormat="1" applyFont="1" applyBorder="1" applyAlignment="1">
      <alignment/>
    </xf>
    <xf numFmtId="3" fontId="2" fillId="0" borderId="29" xfId="0" applyNumberFormat="1" applyFont="1" applyBorder="1" applyAlignment="1">
      <alignment/>
    </xf>
    <xf numFmtId="3" fontId="3" fillId="0" borderId="44" xfId="0" applyNumberFormat="1" applyFont="1" applyBorder="1" applyAlignment="1">
      <alignment/>
    </xf>
    <xf numFmtId="0" fontId="2" fillId="0" borderId="23" xfId="0" applyFont="1" applyBorder="1" applyAlignment="1">
      <alignment horizontal="center"/>
    </xf>
    <xf numFmtId="49" fontId="3" fillId="0" borderId="61" xfId="0" applyNumberFormat="1" applyFont="1" applyBorder="1" applyAlignment="1">
      <alignment horizontal="center"/>
    </xf>
    <xf numFmtId="0" fontId="3" fillId="0" borderId="50" xfId="0" applyFont="1" applyBorder="1" applyAlignment="1">
      <alignment/>
    </xf>
    <xf numFmtId="3" fontId="3" fillId="0" borderId="51" xfId="0" applyNumberFormat="1" applyFont="1" applyBorder="1" applyAlignment="1">
      <alignment/>
    </xf>
    <xf numFmtId="3" fontId="3" fillId="0" borderId="50" xfId="0" applyNumberFormat="1" applyFont="1" applyBorder="1" applyAlignment="1">
      <alignment/>
    </xf>
    <xf numFmtId="3" fontId="3" fillId="0" borderId="62" xfId="0" applyNumberFormat="1" applyFont="1" applyBorder="1" applyAlignment="1">
      <alignment/>
    </xf>
    <xf numFmtId="3" fontId="2" fillId="0" borderId="63" xfId="0" applyNumberFormat="1" applyFont="1" applyBorder="1" applyAlignment="1">
      <alignment/>
    </xf>
    <xf numFmtId="9" fontId="0" fillId="0" borderId="0" xfId="57" applyFont="1" applyAlignment="1">
      <alignment/>
    </xf>
    <xf numFmtId="3" fontId="3" fillId="0" borderId="60" xfId="0" applyNumberFormat="1" applyFont="1" applyBorder="1" applyAlignment="1">
      <alignment/>
    </xf>
    <xf numFmtId="0" fontId="1" fillId="0" borderId="64" xfId="0" applyFont="1" applyBorder="1" applyAlignment="1">
      <alignment horizontal="center"/>
    </xf>
    <xf numFmtId="0" fontId="0" fillId="0" borderId="65" xfId="0" applyBorder="1" applyAlignment="1">
      <alignment horizontal="center"/>
    </xf>
    <xf numFmtId="0" fontId="0" fillId="0" borderId="18" xfId="0" applyBorder="1" applyAlignment="1">
      <alignment/>
    </xf>
    <xf numFmtId="49" fontId="3" fillId="0" borderId="66" xfId="0" applyNumberFormat="1" applyFont="1" applyBorder="1" applyAlignment="1">
      <alignment horizontal="center"/>
    </xf>
    <xf numFmtId="3" fontId="3" fillId="0" borderId="56" xfId="0" applyNumberFormat="1" applyFont="1" applyBorder="1" applyAlignment="1">
      <alignment/>
    </xf>
    <xf numFmtId="3" fontId="3" fillId="0" borderId="64" xfId="0" applyNumberFormat="1" applyFont="1" applyBorder="1" applyAlignment="1">
      <alignment/>
    </xf>
    <xf numFmtId="3" fontId="3" fillId="0" borderId="43" xfId="0" applyNumberFormat="1" applyFont="1" applyBorder="1" applyAlignment="1">
      <alignment/>
    </xf>
    <xf numFmtId="0" fontId="3" fillId="0" borderId="0" xfId="0" applyFont="1" applyBorder="1" applyAlignment="1">
      <alignment horizontal="left"/>
    </xf>
    <xf numFmtId="0" fontId="3" fillId="0" borderId="20" xfId="0" applyFont="1" applyBorder="1" applyAlignment="1">
      <alignment horizontal="left"/>
    </xf>
    <xf numFmtId="0" fontId="3" fillId="0" borderId="0" xfId="0" applyFont="1" applyAlignment="1">
      <alignment/>
    </xf>
    <xf numFmtId="49" fontId="3" fillId="0" borderId="57" xfId="0" applyNumberFormat="1" applyFont="1" applyBorder="1" applyAlignment="1">
      <alignment horizontal="center"/>
    </xf>
    <xf numFmtId="49" fontId="3" fillId="0" borderId="52" xfId="0" applyNumberFormat="1" applyFont="1" applyBorder="1" applyAlignment="1">
      <alignment horizontal="center"/>
    </xf>
    <xf numFmtId="49" fontId="3" fillId="0" borderId="34" xfId="0" applyNumberFormat="1" applyFont="1" applyBorder="1" applyAlignment="1">
      <alignment horizontal="center"/>
    </xf>
    <xf numFmtId="3" fontId="3" fillId="0" borderId="42" xfId="0" applyNumberFormat="1" applyFont="1" applyBorder="1" applyAlignment="1">
      <alignment/>
    </xf>
    <xf numFmtId="49" fontId="3" fillId="0" borderId="67" xfId="0" applyNumberFormat="1" applyFont="1" applyBorder="1" applyAlignment="1">
      <alignment horizontal="center"/>
    </xf>
    <xf numFmtId="0" fontId="3" fillId="0" borderId="42" xfId="0" applyFont="1" applyBorder="1" applyAlignment="1">
      <alignment/>
    </xf>
    <xf numFmtId="0" fontId="3" fillId="0" borderId="13" xfId="0" applyFont="1" applyBorder="1" applyAlignment="1">
      <alignment horizontal="left"/>
    </xf>
    <xf numFmtId="0" fontId="3" fillId="0" borderId="42" xfId="0" applyFont="1" applyBorder="1" applyAlignment="1">
      <alignment horizontal="left"/>
    </xf>
    <xf numFmtId="0" fontId="3" fillId="0" borderId="30" xfId="0" applyFont="1" applyBorder="1" applyAlignment="1">
      <alignment horizontal="left"/>
    </xf>
    <xf numFmtId="0" fontId="3" fillId="0" borderId="18" xfId="0" applyFont="1" applyBorder="1" applyAlignment="1">
      <alignment horizontal="left"/>
    </xf>
    <xf numFmtId="3" fontId="3" fillId="0" borderId="17" xfId="0" applyNumberFormat="1" applyFont="1" applyBorder="1" applyAlignment="1">
      <alignment vertical="top"/>
    </xf>
    <xf numFmtId="0" fontId="3" fillId="0" borderId="18" xfId="0" applyFont="1" applyBorder="1" applyAlignment="1">
      <alignment/>
    </xf>
    <xf numFmtId="49" fontId="3" fillId="0" borderId="33" xfId="0" applyNumberFormat="1" applyFont="1" applyBorder="1" applyAlignment="1">
      <alignment horizontal="center"/>
    </xf>
    <xf numFmtId="49" fontId="3" fillId="0" borderId="22" xfId="0" applyNumberFormat="1" applyFont="1" applyBorder="1" applyAlignment="1">
      <alignment horizontal="center"/>
    </xf>
    <xf numFmtId="3" fontId="3" fillId="0" borderId="68" xfId="0" applyNumberFormat="1" applyFont="1" applyBorder="1" applyAlignment="1">
      <alignment/>
    </xf>
    <xf numFmtId="49" fontId="3" fillId="0" borderId="28" xfId="0" applyNumberFormat="1" applyFont="1" applyBorder="1" applyAlignment="1">
      <alignment horizontal="center"/>
    </xf>
    <xf numFmtId="0" fontId="3" fillId="0" borderId="29" xfId="0" applyFont="1" applyBorder="1" applyAlignment="1">
      <alignment/>
    </xf>
    <xf numFmtId="3" fontId="3" fillId="0" borderId="30" xfId="0" applyNumberFormat="1" applyFont="1" applyBorder="1" applyAlignment="1">
      <alignment/>
    </xf>
    <xf numFmtId="3" fontId="3" fillId="0" borderId="29" xfId="0" applyNumberFormat="1" applyFont="1" applyBorder="1" applyAlignment="1">
      <alignment/>
    </xf>
    <xf numFmtId="3" fontId="3" fillId="0" borderId="63" xfId="0" applyNumberFormat="1" applyFont="1" applyBorder="1" applyAlignment="1">
      <alignment/>
    </xf>
    <xf numFmtId="0" fontId="3" fillId="0" borderId="46" xfId="0" applyFont="1" applyBorder="1" applyAlignment="1">
      <alignment/>
    </xf>
    <xf numFmtId="0" fontId="1" fillId="0" borderId="20" xfId="0" applyFont="1" applyBorder="1" applyAlignment="1">
      <alignment horizontal="center"/>
    </xf>
    <xf numFmtId="3" fontId="3" fillId="0" borderId="29" xfId="0" applyNumberFormat="1" applyFont="1" applyBorder="1" applyAlignment="1">
      <alignment/>
    </xf>
    <xf numFmtId="3" fontId="3" fillId="0" borderId="58" xfId="0" applyNumberFormat="1" applyFont="1" applyBorder="1" applyAlignment="1">
      <alignment/>
    </xf>
    <xf numFmtId="3" fontId="3" fillId="0" borderId="65" xfId="0" applyNumberFormat="1" applyFont="1" applyBorder="1" applyAlignment="1">
      <alignment/>
    </xf>
    <xf numFmtId="0" fontId="1" fillId="0" borderId="45" xfId="0" applyFont="1" applyBorder="1" applyAlignment="1">
      <alignment horizontal="center"/>
    </xf>
    <xf numFmtId="0" fontId="3" fillId="0" borderId="20" xfId="0" applyFont="1" applyFill="1" applyBorder="1" applyAlignment="1">
      <alignment/>
    </xf>
    <xf numFmtId="3" fontId="2" fillId="0" borderId="25" xfId="0" applyNumberFormat="1" applyFont="1" applyBorder="1" applyAlignment="1">
      <alignment/>
    </xf>
    <xf numFmtId="0" fontId="0" fillId="0" borderId="69" xfId="0" applyBorder="1" applyAlignment="1">
      <alignment/>
    </xf>
    <xf numFmtId="0" fontId="2" fillId="0" borderId="25" xfId="0" applyFont="1" applyFill="1" applyBorder="1" applyAlignment="1">
      <alignment horizontal="left"/>
    </xf>
    <xf numFmtId="3" fontId="3" fillId="0" borderId="64" xfId="0" applyNumberFormat="1" applyFont="1" applyBorder="1" applyAlignment="1">
      <alignment/>
    </xf>
    <xf numFmtId="49" fontId="0" fillId="0" borderId="69" xfId="0" applyNumberFormat="1" applyFont="1" applyBorder="1" applyAlignment="1">
      <alignment/>
    </xf>
    <xf numFmtId="3" fontId="2" fillId="0" borderId="69" xfId="0" applyNumberFormat="1" applyFont="1" applyBorder="1" applyAlignment="1">
      <alignment/>
    </xf>
    <xf numFmtId="0" fontId="6" fillId="0" borderId="0" xfId="0" applyFont="1" applyAlignment="1">
      <alignment/>
    </xf>
    <xf numFmtId="0" fontId="3" fillId="0" borderId="17" xfId="0" applyFont="1" applyBorder="1" applyAlignment="1">
      <alignment horizontal="left" vertical="justify"/>
    </xf>
    <xf numFmtId="49" fontId="3" fillId="0" borderId="17" xfId="0" applyNumberFormat="1" applyFont="1" applyBorder="1" applyAlignment="1">
      <alignment horizontal="center" vertical="top"/>
    </xf>
    <xf numFmtId="3" fontId="3" fillId="0" borderId="17" xfId="0" applyNumberFormat="1" applyFont="1" applyBorder="1" applyAlignment="1">
      <alignment vertical="top"/>
    </xf>
    <xf numFmtId="3" fontId="3" fillId="0" borderId="20" xfId="0" applyNumberFormat="1" applyFont="1" applyBorder="1" applyAlignment="1">
      <alignment vertical="top"/>
    </xf>
    <xf numFmtId="3" fontId="3" fillId="0" borderId="20" xfId="0" applyNumberFormat="1" applyFont="1" applyBorder="1" applyAlignment="1">
      <alignment vertical="top"/>
    </xf>
    <xf numFmtId="49" fontId="3" fillId="0" borderId="20" xfId="0" applyNumberFormat="1" applyFont="1" applyBorder="1" applyAlignment="1">
      <alignment horizontal="center" vertical="top"/>
    </xf>
    <xf numFmtId="0" fontId="3" fillId="0" borderId="20" xfId="0" applyFont="1" applyBorder="1" applyAlignment="1">
      <alignment horizontal="left" vertical="justify"/>
    </xf>
    <xf numFmtId="3" fontId="3" fillId="0" borderId="14" xfId="0" applyNumberFormat="1" applyFont="1" applyBorder="1" applyAlignment="1">
      <alignment vertical="top"/>
    </xf>
    <xf numFmtId="0" fontId="3" fillId="0" borderId="14" xfId="0" applyFont="1" applyBorder="1" applyAlignment="1">
      <alignment horizontal="left" vertical="distributed"/>
    </xf>
    <xf numFmtId="49" fontId="3" fillId="0" borderId="36" xfId="0" applyNumberFormat="1" applyFont="1" applyBorder="1" applyAlignment="1">
      <alignment horizontal="center" vertical="top"/>
    </xf>
    <xf numFmtId="0" fontId="3" fillId="0" borderId="14" xfId="0" applyFont="1" applyBorder="1" applyAlignment="1">
      <alignment horizontal="left" vertical="justify"/>
    </xf>
    <xf numFmtId="49" fontId="3" fillId="0" borderId="17" xfId="0" applyNumberFormat="1" applyFont="1" applyBorder="1" applyAlignment="1">
      <alignment horizontal="center"/>
    </xf>
    <xf numFmtId="0" fontId="3" fillId="0" borderId="43" xfId="0" applyFont="1" applyBorder="1" applyAlignment="1">
      <alignment horizontal="left"/>
    </xf>
    <xf numFmtId="3" fontId="3" fillId="0" borderId="17" xfId="0" applyNumberFormat="1" applyFont="1" applyBorder="1" applyAlignment="1">
      <alignment/>
    </xf>
    <xf numFmtId="3" fontId="2" fillId="0" borderId="0" xfId="0" applyNumberFormat="1" applyFont="1" applyBorder="1" applyAlignment="1">
      <alignment/>
    </xf>
    <xf numFmtId="3" fontId="2" fillId="0" borderId="69" xfId="0" applyNumberFormat="1" applyFont="1" applyBorder="1" applyAlignment="1">
      <alignment/>
    </xf>
    <xf numFmtId="3" fontId="0" fillId="0" borderId="20" xfId="0" applyNumberFormat="1" applyBorder="1" applyAlignment="1">
      <alignment/>
    </xf>
    <xf numFmtId="3" fontId="0" fillId="0" borderId="14" xfId="0" applyNumberFormat="1" applyBorder="1" applyAlignment="1">
      <alignment vertical="top"/>
    </xf>
    <xf numFmtId="3" fontId="0" fillId="0" borderId="13" xfId="0" applyNumberFormat="1" applyBorder="1" applyAlignment="1">
      <alignment vertical="top"/>
    </xf>
    <xf numFmtId="3" fontId="0" fillId="0" borderId="20" xfId="0" applyNumberFormat="1" applyBorder="1" applyAlignment="1">
      <alignment vertical="top"/>
    </xf>
    <xf numFmtId="3" fontId="0" fillId="0" borderId="54" xfId="0" applyNumberFormat="1" applyBorder="1" applyAlignment="1">
      <alignment vertical="top"/>
    </xf>
    <xf numFmtId="3" fontId="0" fillId="0" borderId="16" xfId="0" applyNumberFormat="1" applyBorder="1" applyAlignment="1">
      <alignment vertical="top"/>
    </xf>
    <xf numFmtId="3" fontId="0" fillId="0" borderId="42" xfId="0" applyNumberFormat="1" applyBorder="1" applyAlignment="1">
      <alignment vertical="top"/>
    </xf>
    <xf numFmtId="3" fontId="0" fillId="0" borderId="65" xfId="0" applyNumberFormat="1" applyBorder="1" applyAlignment="1">
      <alignment vertical="top"/>
    </xf>
    <xf numFmtId="3" fontId="3" fillId="0" borderId="49" xfId="0" applyNumberFormat="1" applyFont="1" applyBorder="1" applyAlignment="1">
      <alignment/>
    </xf>
    <xf numFmtId="0" fontId="3" fillId="0" borderId="18" xfId="0" applyFont="1" applyBorder="1" applyAlignment="1">
      <alignment/>
    </xf>
    <xf numFmtId="49" fontId="3" fillId="0" borderId="21" xfId="0" applyNumberFormat="1" applyFont="1" applyBorder="1" applyAlignment="1">
      <alignment horizontal="center"/>
    </xf>
    <xf numFmtId="0" fontId="3" fillId="0" borderId="37" xfId="0" applyFont="1" applyBorder="1" applyAlignment="1">
      <alignment horizontal="left"/>
    </xf>
    <xf numFmtId="3" fontId="3" fillId="0" borderId="58" xfId="0" applyNumberFormat="1" applyFont="1" applyBorder="1" applyAlignment="1">
      <alignment/>
    </xf>
    <xf numFmtId="3" fontId="3" fillId="0" borderId="37" xfId="0" applyNumberFormat="1" applyFont="1" applyBorder="1" applyAlignment="1">
      <alignment/>
    </xf>
    <xf numFmtId="49" fontId="3" fillId="0" borderId="14" xfId="0" applyNumberFormat="1" applyFont="1" applyBorder="1" applyAlignment="1">
      <alignment horizontal="center" vertical="top"/>
    </xf>
    <xf numFmtId="3" fontId="3" fillId="0" borderId="14" xfId="0" applyNumberFormat="1" applyFont="1" applyBorder="1" applyAlignment="1">
      <alignment vertical="top"/>
    </xf>
    <xf numFmtId="3" fontId="3" fillId="0" borderId="59" xfId="0" applyNumberFormat="1" applyFont="1" applyBorder="1" applyAlignment="1">
      <alignment vertical="top"/>
    </xf>
    <xf numFmtId="3" fontId="3" fillId="0" borderId="60" xfId="0" applyNumberFormat="1" applyFont="1" applyBorder="1" applyAlignment="1">
      <alignment vertical="top"/>
    </xf>
    <xf numFmtId="3" fontId="3" fillId="0" borderId="18" xfId="0" applyNumberFormat="1" applyFont="1" applyBorder="1" applyAlignment="1">
      <alignment vertical="top"/>
    </xf>
    <xf numFmtId="3" fontId="3" fillId="0" borderId="12" xfId="0" applyNumberFormat="1" applyFont="1" applyBorder="1" applyAlignment="1">
      <alignment vertical="top"/>
    </xf>
    <xf numFmtId="3" fontId="3" fillId="0" borderId="40" xfId="0" applyNumberFormat="1" applyFont="1" applyBorder="1" applyAlignment="1">
      <alignment vertical="top"/>
    </xf>
    <xf numFmtId="49" fontId="3" fillId="0" borderId="31" xfId="0" applyNumberFormat="1" applyFont="1" applyBorder="1" applyAlignment="1">
      <alignment horizontal="center" vertical="top"/>
    </xf>
    <xf numFmtId="0" fontId="3" fillId="0" borderId="17" xfId="0" applyFont="1" applyBorder="1" applyAlignment="1">
      <alignment vertical="justify"/>
    </xf>
    <xf numFmtId="0" fontId="3" fillId="0" borderId="17" xfId="0" applyFont="1" applyBorder="1" applyAlignment="1">
      <alignment wrapText="1"/>
    </xf>
    <xf numFmtId="0" fontId="3" fillId="0" borderId="13" xfId="0" applyFont="1" applyBorder="1" applyAlignment="1">
      <alignment horizontal="left" vertical="justify"/>
    </xf>
    <xf numFmtId="0" fontId="3" fillId="0" borderId="18" xfId="0" applyFont="1" applyBorder="1" applyAlignment="1">
      <alignment horizontal="left" vertical="justify"/>
    </xf>
    <xf numFmtId="0" fontId="3" fillId="0" borderId="20" xfId="0" applyFont="1" applyBorder="1" applyAlignment="1">
      <alignment/>
    </xf>
    <xf numFmtId="3" fontId="0" fillId="0" borderId="20" xfId="0" applyNumberFormat="1" applyFont="1" applyBorder="1" applyAlignment="1">
      <alignment/>
    </xf>
    <xf numFmtId="3" fontId="0" fillId="0" borderId="14" xfId="0" applyNumberFormat="1" applyFont="1" applyBorder="1" applyAlignment="1">
      <alignment vertical="top"/>
    </xf>
    <xf numFmtId="3" fontId="0" fillId="0" borderId="59" xfId="0" applyNumberFormat="1" applyFont="1" applyBorder="1" applyAlignment="1">
      <alignment vertical="top"/>
    </xf>
    <xf numFmtId="3" fontId="3" fillId="0" borderId="15" xfId="0" applyNumberFormat="1" applyFont="1" applyBorder="1" applyAlignment="1">
      <alignment vertical="top"/>
    </xf>
    <xf numFmtId="3" fontId="3" fillId="0" borderId="24" xfId="0" applyNumberFormat="1" applyFont="1" applyBorder="1" applyAlignment="1">
      <alignment/>
    </xf>
    <xf numFmtId="3" fontId="3" fillId="0" borderId="70" xfId="0" applyNumberFormat="1" applyFont="1" applyBorder="1" applyAlignment="1">
      <alignment/>
    </xf>
    <xf numFmtId="3" fontId="3" fillId="0" borderId="29" xfId="0" applyNumberFormat="1" applyFont="1" applyBorder="1" applyAlignment="1">
      <alignment horizontal="right"/>
    </xf>
    <xf numFmtId="3" fontId="3" fillId="0" borderId="59" xfId="0" applyNumberFormat="1" applyFont="1" applyBorder="1" applyAlignment="1">
      <alignment vertical="top"/>
    </xf>
    <xf numFmtId="3" fontId="3" fillId="0" borderId="42" xfId="0" applyNumberFormat="1" applyFont="1" applyBorder="1" applyAlignment="1">
      <alignment vertical="top"/>
    </xf>
    <xf numFmtId="3" fontId="3" fillId="0" borderId="65" xfId="0" applyNumberFormat="1" applyFont="1" applyBorder="1" applyAlignment="1">
      <alignment vertical="top"/>
    </xf>
    <xf numFmtId="3" fontId="3" fillId="33" borderId="47" xfId="0" applyNumberFormat="1" applyFont="1" applyFill="1" applyBorder="1" applyAlignment="1">
      <alignment/>
    </xf>
    <xf numFmtId="3" fontId="3" fillId="33" borderId="29" xfId="0" applyNumberFormat="1" applyFont="1" applyFill="1" applyBorder="1" applyAlignment="1">
      <alignment/>
    </xf>
    <xf numFmtId="49" fontId="3" fillId="33" borderId="36" xfId="0" applyNumberFormat="1" applyFont="1" applyFill="1" applyBorder="1" applyAlignment="1">
      <alignment horizontal="center" vertical="top"/>
    </xf>
    <xf numFmtId="0" fontId="3" fillId="33" borderId="14" xfId="0" applyFont="1" applyFill="1" applyBorder="1" applyAlignment="1">
      <alignment wrapText="1"/>
    </xf>
    <xf numFmtId="3" fontId="3" fillId="33" borderId="20" xfId="0" applyNumberFormat="1" applyFont="1" applyFill="1" applyBorder="1" applyAlignment="1">
      <alignment/>
    </xf>
    <xf numFmtId="3" fontId="3" fillId="33" borderId="16" xfId="0" applyNumberFormat="1" applyFont="1" applyFill="1" applyBorder="1" applyAlignment="1">
      <alignment/>
    </xf>
    <xf numFmtId="3" fontId="3" fillId="33" borderId="0" xfId="0" applyNumberFormat="1" applyFont="1" applyFill="1" applyBorder="1" applyAlignment="1">
      <alignment/>
    </xf>
    <xf numFmtId="3" fontId="3" fillId="33" borderId="20" xfId="0" applyNumberFormat="1" applyFont="1" applyFill="1" applyBorder="1" applyAlignment="1">
      <alignment vertical="top"/>
    </xf>
    <xf numFmtId="0" fontId="0" fillId="33" borderId="0" xfId="0" applyFont="1" applyFill="1" applyAlignment="1">
      <alignment/>
    </xf>
    <xf numFmtId="49" fontId="3" fillId="33" borderId="31" xfId="0" applyNumberFormat="1" applyFont="1" applyFill="1" applyBorder="1" applyAlignment="1">
      <alignment horizontal="center" vertical="top"/>
    </xf>
    <xf numFmtId="0" fontId="3" fillId="33" borderId="17" xfId="0" applyFont="1" applyFill="1" applyBorder="1" applyAlignment="1">
      <alignment wrapText="1"/>
    </xf>
    <xf numFmtId="3" fontId="3" fillId="33" borderId="17" xfId="0" applyNumberFormat="1" applyFont="1" applyFill="1" applyBorder="1" applyAlignment="1">
      <alignment/>
    </xf>
    <xf numFmtId="3" fontId="3" fillId="33" borderId="18" xfId="0" applyNumberFormat="1" applyFont="1" applyFill="1" applyBorder="1" applyAlignment="1">
      <alignment/>
    </xf>
    <xf numFmtId="3" fontId="3" fillId="33" borderId="12" xfId="0" applyNumberFormat="1" applyFont="1" applyFill="1" applyBorder="1" applyAlignment="1">
      <alignment/>
    </xf>
    <xf numFmtId="49" fontId="2" fillId="0" borderId="57" xfId="0" applyNumberFormat="1" applyFont="1" applyBorder="1" applyAlignment="1">
      <alignment horizontal="center"/>
    </xf>
    <xf numFmtId="3" fontId="2" fillId="0" borderId="63" xfId="0" applyNumberFormat="1" applyFont="1" applyBorder="1" applyAlignment="1">
      <alignment/>
    </xf>
    <xf numFmtId="3" fontId="2" fillId="0" borderId="44" xfId="0" applyNumberFormat="1" applyFont="1" applyBorder="1" applyAlignment="1">
      <alignment/>
    </xf>
    <xf numFmtId="0" fontId="3" fillId="0" borderId="20" xfId="0" applyFont="1" applyFill="1" applyBorder="1" applyAlignment="1">
      <alignment horizontal="left"/>
    </xf>
    <xf numFmtId="49" fontId="3" fillId="0" borderId="33" xfId="0" applyNumberFormat="1" applyFont="1" applyBorder="1" applyAlignment="1">
      <alignment horizontal="center" vertical="top"/>
    </xf>
    <xf numFmtId="0" fontId="3" fillId="0" borderId="64" xfId="0" applyFont="1" applyBorder="1" applyAlignment="1">
      <alignment horizontal="left" vertical="justify"/>
    </xf>
    <xf numFmtId="0" fontId="0" fillId="0" borderId="20" xfId="0" applyBorder="1" applyAlignment="1">
      <alignment/>
    </xf>
    <xf numFmtId="0" fontId="0" fillId="0" borderId="64" xfId="0" applyBorder="1" applyAlignment="1">
      <alignment/>
    </xf>
    <xf numFmtId="0" fontId="3" fillId="0" borderId="14" xfId="0" applyFont="1" applyBorder="1" applyAlignment="1">
      <alignment horizontal="left" wrapText="1"/>
    </xf>
    <xf numFmtId="49" fontId="2" fillId="0" borderId="61" xfId="0" applyNumberFormat="1" applyFont="1" applyBorder="1" applyAlignment="1">
      <alignment horizontal="center"/>
    </xf>
    <xf numFmtId="0" fontId="2" fillId="0" borderId="50" xfId="0" applyFont="1" applyBorder="1" applyAlignment="1">
      <alignment horizontal="center"/>
    </xf>
    <xf numFmtId="3" fontId="2" fillId="0" borderId="71" xfId="0" applyNumberFormat="1" applyFont="1" applyBorder="1" applyAlignment="1">
      <alignment/>
    </xf>
    <xf numFmtId="3" fontId="2" fillId="0" borderId="51" xfId="0" applyNumberFormat="1" applyFont="1" applyBorder="1" applyAlignment="1">
      <alignment/>
    </xf>
    <xf numFmtId="49" fontId="3" fillId="0" borderId="64" xfId="0" applyNumberFormat="1" applyFont="1" applyBorder="1" applyAlignment="1">
      <alignment horizontal="center"/>
    </xf>
    <xf numFmtId="3" fontId="0" fillId="0" borderId="72" xfId="0" applyNumberFormat="1" applyBorder="1" applyAlignment="1">
      <alignment/>
    </xf>
    <xf numFmtId="3" fontId="2" fillId="0" borderId="73" xfId="0" applyNumberFormat="1" applyFont="1" applyBorder="1" applyAlignment="1">
      <alignment/>
    </xf>
    <xf numFmtId="3" fontId="2" fillId="0" borderId="69" xfId="0" applyNumberFormat="1" applyFont="1" applyBorder="1" applyAlignment="1">
      <alignment horizontal="right"/>
    </xf>
    <xf numFmtId="49" fontId="3" fillId="0" borderId="20" xfId="0" applyNumberFormat="1" applyFont="1" applyFill="1" applyBorder="1" applyAlignment="1">
      <alignment horizontal="center" vertical="top"/>
    </xf>
    <xf numFmtId="0" fontId="3" fillId="0" borderId="20" xfId="0" applyFont="1" applyFill="1" applyBorder="1" applyAlignment="1">
      <alignment horizontal="left" vertical="justify"/>
    </xf>
    <xf numFmtId="3" fontId="3" fillId="0" borderId="20" xfId="0" applyNumberFormat="1" applyFont="1" applyFill="1" applyBorder="1" applyAlignment="1">
      <alignment vertical="top"/>
    </xf>
    <xf numFmtId="3" fontId="3" fillId="0" borderId="20" xfId="0" applyNumberFormat="1" applyFont="1" applyFill="1" applyBorder="1" applyAlignment="1">
      <alignment vertical="top"/>
    </xf>
    <xf numFmtId="0" fontId="0" fillId="0" borderId="0" xfId="0" applyFill="1" applyAlignment="1">
      <alignment/>
    </xf>
    <xf numFmtId="49" fontId="3" fillId="0" borderId="20" xfId="0" applyNumberFormat="1" applyFont="1" applyFill="1" applyBorder="1" applyAlignment="1">
      <alignment horizontal="center"/>
    </xf>
    <xf numFmtId="3" fontId="3" fillId="0" borderId="20" xfId="0" applyNumberFormat="1" applyFont="1" applyFill="1" applyBorder="1" applyAlignment="1">
      <alignment/>
    </xf>
    <xf numFmtId="3" fontId="3" fillId="0" borderId="20" xfId="0" applyNumberFormat="1" applyFont="1" applyFill="1" applyBorder="1" applyAlignment="1">
      <alignment/>
    </xf>
    <xf numFmtId="3" fontId="3" fillId="33" borderId="64" xfId="0" applyNumberFormat="1" applyFont="1" applyFill="1" applyBorder="1" applyAlignment="1">
      <alignment/>
    </xf>
    <xf numFmtId="0" fontId="3" fillId="0" borderId="17" xfId="0" applyFont="1" applyFill="1" applyBorder="1" applyAlignment="1">
      <alignment horizontal="left"/>
    </xf>
    <xf numFmtId="0" fontId="3" fillId="0" borderId="20" xfId="0" applyFont="1" applyBorder="1" applyAlignment="1">
      <alignment horizontal="left" wrapText="1"/>
    </xf>
    <xf numFmtId="3" fontId="3" fillId="0" borderId="64" xfId="0" applyNumberFormat="1" applyFont="1" applyFill="1" applyBorder="1" applyAlignment="1">
      <alignment/>
    </xf>
    <xf numFmtId="0" fontId="0" fillId="0" borderId="0" xfId="0" applyBorder="1" applyAlignment="1">
      <alignment/>
    </xf>
    <xf numFmtId="3" fontId="3" fillId="0" borderId="10" xfId="0" applyNumberFormat="1" applyFont="1" applyBorder="1" applyAlignment="1">
      <alignment/>
    </xf>
    <xf numFmtId="0" fontId="3" fillId="0" borderId="0" xfId="0" applyFont="1" applyBorder="1" applyAlignment="1">
      <alignment/>
    </xf>
    <xf numFmtId="3" fontId="3" fillId="0" borderId="49" xfId="0" applyNumberFormat="1" applyFont="1" applyBorder="1" applyAlignment="1">
      <alignment/>
    </xf>
    <xf numFmtId="3" fontId="3" fillId="0" borderId="74" xfId="0" applyNumberFormat="1" applyFont="1" applyBorder="1" applyAlignment="1">
      <alignment/>
    </xf>
    <xf numFmtId="3" fontId="2" fillId="0" borderId="47" xfId="0" applyNumberFormat="1" applyFont="1" applyBorder="1" applyAlignment="1">
      <alignment/>
    </xf>
    <xf numFmtId="3" fontId="3" fillId="0" borderId="64" xfId="0" applyNumberFormat="1" applyFont="1" applyBorder="1" applyAlignment="1">
      <alignment/>
    </xf>
    <xf numFmtId="3" fontId="2" fillId="0" borderId="26" xfId="0" applyNumberFormat="1" applyFont="1" applyBorder="1" applyAlignment="1">
      <alignment/>
    </xf>
    <xf numFmtId="3" fontId="2" fillId="0" borderId="69" xfId="0" applyNumberFormat="1" applyFont="1" applyBorder="1" applyAlignment="1">
      <alignment/>
    </xf>
    <xf numFmtId="3" fontId="3" fillId="0" borderId="75" xfId="0" applyNumberFormat="1" applyFont="1" applyBorder="1" applyAlignment="1">
      <alignment/>
    </xf>
    <xf numFmtId="3" fontId="3" fillId="0" borderId="76" xfId="0" applyNumberFormat="1" applyFont="1" applyBorder="1" applyAlignment="1">
      <alignment/>
    </xf>
    <xf numFmtId="3" fontId="3" fillId="0" borderId="75" xfId="0" applyNumberFormat="1" applyFont="1" applyBorder="1" applyAlignment="1">
      <alignment/>
    </xf>
    <xf numFmtId="3" fontId="3" fillId="0" borderId="76" xfId="0" applyNumberFormat="1" applyFont="1" applyBorder="1" applyAlignment="1">
      <alignment/>
    </xf>
    <xf numFmtId="3" fontId="3" fillId="0" borderId="77" xfId="0" applyNumberFormat="1" applyFont="1" applyBorder="1" applyAlignment="1">
      <alignment/>
    </xf>
    <xf numFmtId="3" fontId="3" fillId="0" borderId="73" xfId="0" applyNumberFormat="1" applyFont="1" applyBorder="1" applyAlignment="1">
      <alignment/>
    </xf>
    <xf numFmtId="3" fontId="3" fillId="0" borderId="78" xfId="0" applyNumberFormat="1" applyFont="1" applyBorder="1" applyAlignment="1">
      <alignment/>
    </xf>
    <xf numFmtId="3" fontId="2" fillId="0" borderId="73" xfId="0" applyNumberFormat="1" applyFont="1" applyBorder="1" applyAlignment="1">
      <alignment/>
    </xf>
    <xf numFmtId="3" fontId="2" fillId="0" borderId="76" xfId="0" applyNumberFormat="1" applyFont="1" applyBorder="1" applyAlignment="1">
      <alignment/>
    </xf>
    <xf numFmtId="3" fontId="3" fillId="0" borderId="0" xfId="0" applyNumberFormat="1" applyFont="1" applyFill="1" applyBorder="1" applyAlignment="1">
      <alignment vertical="top"/>
    </xf>
    <xf numFmtId="0" fontId="3" fillId="0" borderId="16" xfId="0" applyFont="1" applyBorder="1" applyAlignment="1">
      <alignment/>
    </xf>
    <xf numFmtId="49" fontId="3" fillId="0" borderId="42" xfId="0" applyNumberFormat="1" applyFont="1" applyBorder="1" applyAlignment="1">
      <alignment horizontal="center"/>
    </xf>
    <xf numFmtId="3" fontId="3" fillId="0" borderId="50" xfId="0" applyNumberFormat="1" applyFont="1" applyBorder="1" applyAlignment="1">
      <alignment/>
    </xf>
    <xf numFmtId="49" fontId="3" fillId="0" borderId="22" xfId="0" applyNumberFormat="1" applyFont="1" applyFill="1" applyBorder="1" applyAlignment="1">
      <alignment horizontal="center"/>
    </xf>
    <xf numFmtId="0" fontId="3" fillId="0" borderId="18" xfId="0" applyFont="1" applyFill="1" applyBorder="1" applyAlignment="1">
      <alignment horizontal="left"/>
    </xf>
    <xf numFmtId="3" fontId="3" fillId="0" borderId="17" xfId="0" applyNumberFormat="1" applyFont="1" applyFill="1" applyBorder="1" applyAlignment="1">
      <alignment/>
    </xf>
    <xf numFmtId="3" fontId="3" fillId="0" borderId="60" xfId="0" applyNumberFormat="1" applyFont="1" applyFill="1" applyBorder="1" applyAlignment="1">
      <alignment/>
    </xf>
    <xf numFmtId="3" fontId="3" fillId="0" borderId="18" xfId="0" applyNumberFormat="1" applyFont="1" applyFill="1" applyBorder="1" applyAlignment="1">
      <alignment/>
    </xf>
    <xf numFmtId="3" fontId="3" fillId="0" borderId="12" xfId="0" applyNumberFormat="1" applyFont="1" applyFill="1" applyBorder="1" applyAlignment="1">
      <alignment/>
    </xf>
    <xf numFmtId="3" fontId="3" fillId="0" borderId="75"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49" fontId="3" fillId="0" borderId="0" xfId="0" applyNumberFormat="1" applyFont="1" applyBorder="1" applyAlignment="1">
      <alignment horizontal="center"/>
    </xf>
    <xf numFmtId="3" fontId="2" fillId="0" borderId="24" xfId="0" applyNumberFormat="1" applyFont="1" applyFill="1" applyBorder="1" applyAlignment="1">
      <alignment/>
    </xf>
    <xf numFmtId="3" fontId="3" fillId="0" borderId="42" xfId="0" applyNumberFormat="1" applyFont="1" applyFill="1" applyBorder="1" applyAlignment="1">
      <alignment/>
    </xf>
    <xf numFmtId="3" fontId="3" fillId="0" borderId="47" xfId="0" applyNumberFormat="1" applyFont="1" applyFill="1" applyBorder="1" applyAlignment="1">
      <alignment/>
    </xf>
    <xf numFmtId="0" fontId="1" fillId="0" borderId="66" xfId="0" applyFont="1" applyBorder="1" applyAlignment="1">
      <alignment horizontal="center" wrapText="1"/>
    </xf>
    <xf numFmtId="0" fontId="0" fillId="0" borderId="52" xfId="0" applyBorder="1" applyAlignment="1">
      <alignment horizontal="center" wrapText="1"/>
    </xf>
    <xf numFmtId="0" fontId="0" fillId="0" borderId="22" xfId="0" applyBorder="1" applyAlignment="1">
      <alignment horizontal="center" wrapText="1"/>
    </xf>
    <xf numFmtId="0" fontId="1" fillId="0" borderId="64" xfId="0" applyFont="1" applyBorder="1" applyAlignment="1">
      <alignment horizontal="center"/>
    </xf>
    <xf numFmtId="0" fontId="1" fillId="0" borderId="65" xfId="0" applyFont="1" applyBorder="1" applyAlignment="1">
      <alignment horizontal="center"/>
    </xf>
    <xf numFmtId="0" fontId="0" fillId="0" borderId="65" xfId="0" applyBorder="1" applyAlignment="1">
      <alignment horizontal="center"/>
    </xf>
    <xf numFmtId="0" fontId="1" fillId="0" borderId="14"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32"/>
  <sheetViews>
    <sheetView tabSelected="1" zoomScalePageLayoutView="0" workbookViewId="0" topLeftCell="A121">
      <selection activeCell="A1" sqref="A1"/>
    </sheetView>
  </sheetViews>
  <sheetFormatPr defaultColWidth="9.00390625" defaultRowHeight="12.75"/>
  <cols>
    <col min="1" max="1" width="14.00390625" style="0" customWidth="1"/>
    <col min="2" max="2" width="55.75390625" style="0" customWidth="1"/>
    <col min="3" max="3" width="15.75390625" style="0" customWidth="1"/>
    <col min="4" max="4" width="12.25390625" style="0" customWidth="1"/>
    <col min="5" max="5" width="11.75390625" style="0" customWidth="1"/>
    <col min="6" max="6" width="14.625" style="0" customWidth="1"/>
    <col min="7" max="7" width="12.375" style="0" customWidth="1"/>
    <col min="8" max="8" width="11.25390625" style="0" customWidth="1"/>
    <col min="9" max="9" width="10.625" style="0" customWidth="1"/>
    <col min="10" max="11" width="14.00390625" style="0" customWidth="1"/>
    <col min="12" max="12" width="14.125" style="0" customWidth="1"/>
    <col min="13" max="13" width="15.875" style="0" customWidth="1"/>
  </cols>
  <sheetData>
    <row r="1" spans="9:12" ht="12.75">
      <c r="I1" s="19"/>
      <c r="J1" s="19" t="s">
        <v>91</v>
      </c>
      <c r="K1" s="19"/>
      <c r="L1" s="19"/>
    </row>
    <row r="2" spans="4:13" ht="12.75">
      <c r="D2" s="136"/>
      <c r="I2" s="19"/>
      <c r="J2" s="19" t="s">
        <v>157</v>
      </c>
      <c r="K2" s="19"/>
      <c r="L2" s="19"/>
      <c r="M2" s="19"/>
    </row>
    <row r="3" spans="9:13" ht="12.75">
      <c r="I3" s="19"/>
      <c r="J3" s="19" t="s">
        <v>230</v>
      </c>
      <c r="K3" s="19"/>
      <c r="L3" s="19"/>
      <c r="M3" s="19"/>
    </row>
    <row r="4" spans="9:13" ht="12.75">
      <c r="I4" s="19"/>
      <c r="J4" s="19"/>
      <c r="K4" s="19"/>
      <c r="L4" s="19"/>
      <c r="M4" s="19"/>
    </row>
    <row r="5" spans="9:13" ht="12.75">
      <c r="I5" s="19"/>
      <c r="J5" s="19"/>
      <c r="K5" s="19"/>
      <c r="L5" s="19"/>
      <c r="M5" s="19"/>
    </row>
    <row r="6" spans="9:13" ht="12.75">
      <c r="I6" s="19"/>
      <c r="J6" s="19"/>
      <c r="K6" s="19"/>
      <c r="L6" s="19"/>
      <c r="M6" s="19"/>
    </row>
    <row r="7" spans="1:13" ht="15">
      <c r="A7" s="20"/>
      <c r="B7" s="20"/>
      <c r="D7" s="21" t="s">
        <v>224</v>
      </c>
      <c r="E7" s="21"/>
      <c r="F7" s="21"/>
      <c r="G7" s="21"/>
      <c r="H7" s="21"/>
      <c r="I7" s="19"/>
      <c r="J7" s="19"/>
      <c r="K7" s="19"/>
      <c r="L7" s="19"/>
      <c r="M7" s="19"/>
    </row>
    <row r="8" spans="1:12" ht="15">
      <c r="A8" s="20"/>
      <c r="B8" s="20"/>
      <c r="C8" s="21" t="s">
        <v>161</v>
      </c>
      <c r="D8" s="21"/>
      <c r="E8" s="21"/>
      <c r="F8" s="21"/>
      <c r="G8" s="21"/>
      <c r="H8" s="21"/>
      <c r="I8" s="19"/>
      <c r="J8" s="19"/>
      <c r="K8" s="19"/>
      <c r="L8" s="19"/>
    </row>
    <row r="9" spans="1:13" ht="13.5" thickBot="1">
      <c r="A9" s="19"/>
      <c r="B9" s="19"/>
      <c r="C9" s="19"/>
      <c r="D9" s="19"/>
      <c r="E9" s="19"/>
      <c r="F9" s="19"/>
      <c r="G9" s="119"/>
      <c r="H9" s="19"/>
      <c r="I9" s="19"/>
      <c r="J9" s="19"/>
      <c r="K9" s="19"/>
      <c r="L9" s="19" t="s">
        <v>68</v>
      </c>
      <c r="M9" s="19"/>
    </row>
    <row r="10" spans="1:13" ht="12.75">
      <c r="A10" s="313" t="s">
        <v>162</v>
      </c>
      <c r="B10" s="95"/>
      <c r="C10" s="96" t="s">
        <v>166</v>
      </c>
      <c r="D10" s="96"/>
      <c r="E10" s="100"/>
      <c r="F10" s="96" t="s">
        <v>168</v>
      </c>
      <c r="G10" s="101"/>
      <c r="H10" s="101"/>
      <c r="I10" s="96"/>
      <c r="J10" s="96"/>
      <c r="K10" s="96"/>
      <c r="L10" s="96"/>
      <c r="M10" s="15"/>
    </row>
    <row r="11" spans="1:13" ht="12.75">
      <c r="A11" s="314"/>
      <c r="B11" s="94" t="s">
        <v>163</v>
      </c>
      <c r="C11" s="4"/>
      <c r="D11" s="2"/>
      <c r="E11" s="2"/>
      <c r="F11" s="1"/>
      <c r="G11" s="2"/>
      <c r="H11" s="2"/>
      <c r="I11" s="2"/>
      <c r="J11" s="2"/>
      <c r="K11" s="2"/>
      <c r="L11" s="2"/>
      <c r="M11" s="3"/>
    </row>
    <row r="12" spans="1:13" ht="12.75">
      <c r="A12" s="314"/>
      <c r="B12" s="94" t="s">
        <v>164</v>
      </c>
      <c r="C12" s="6"/>
      <c r="D12" s="316" t="s">
        <v>89</v>
      </c>
      <c r="E12" s="317"/>
      <c r="F12" s="5"/>
      <c r="G12" s="7" t="s">
        <v>86</v>
      </c>
      <c r="H12" s="138" t="s">
        <v>169</v>
      </c>
      <c r="I12" s="139"/>
      <c r="J12" s="6" t="s">
        <v>5</v>
      </c>
      <c r="K12" s="316" t="s">
        <v>0</v>
      </c>
      <c r="L12" s="318"/>
      <c r="M12" s="98" t="s">
        <v>6</v>
      </c>
    </row>
    <row r="13" spans="1:13" ht="12.75">
      <c r="A13" s="314"/>
      <c r="B13" s="94" t="s">
        <v>165</v>
      </c>
      <c r="C13" s="9"/>
      <c r="D13" s="10" t="s">
        <v>1</v>
      </c>
      <c r="E13" s="9" t="s">
        <v>87</v>
      </c>
      <c r="F13" s="16"/>
      <c r="G13" s="9"/>
      <c r="H13" s="10" t="s">
        <v>1</v>
      </c>
      <c r="I13" s="9" t="s">
        <v>87</v>
      </c>
      <c r="J13" s="9"/>
      <c r="K13" s="10"/>
      <c r="L13" s="169" t="s">
        <v>89</v>
      </c>
      <c r="M13" s="98"/>
    </row>
    <row r="14" spans="1:13" ht="12.75">
      <c r="A14" s="314"/>
      <c r="B14" s="8"/>
      <c r="C14" s="9" t="s">
        <v>67</v>
      </c>
      <c r="D14" s="10" t="s">
        <v>2</v>
      </c>
      <c r="E14" s="9" t="s">
        <v>88</v>
      </c>
      <c r="F14" s="16" t="s">
        <v>67</v>
      </c>
      <c r="G14" s="9"/>
      <c r="H14" s="10" t="s">
        <v>2</v>
      </c>
      <c r="I14" s="9" t="s">
        <v>88</v>
      </c>
      <c r="J14" s="9"/>
      <c r="K14" s="10" t="s">
        <v>4</v>
      </c>
      <c r="L14" s="319" t="s">
        <v>171</v>
      </c>
      <c r="M14" s="3"/>
    </row>
    <row r="15" spans="1:13" ht="12.75">
      <c r="A15" s="314"/>
      <c r="B15" s="8"/>
      <c r="C15" s="9"/>
      <c r="D15" s="10"/>
      <c r="E15" s="9" t="s">
        <v>3</v>
      </c>
      <c r="F15" s="16"/>
      <c r="G15" s="9"/>
      <c r="H15" s="10"/>
      <c r="I15" s="9" t="s">
        <v>3</v>
      </c>
      <c r="J15" s="9"/>
      <c r="K15" s="10" t="s">
        <v>5</v>
      </c>
      <c r="L15" s="320"/>
      <c r="M15" s="3"/>
    </row>
    <row r="16" spans="1:13" ht="56.25" customHeight="1">
      <c r="A16" s="315"/>
      <c r="B16" s="11"/>
      <c r="C16" s="14"/>
      <c r="D16" s="13"/>
      <c r="E16" s="12"/>
      <c r="F16" s="4"/>
      <c r="G16" s="12"/>
      <c r="H16" s="13"/>
      <c r="I16" s="12"/>
      <c r="J16" s="12"/>
      <c r="K16" s="13"/>
      <c r="L16" s="321"/>
      <c r="M16" s="97"/>
    </row>
    <row r="17" spans="1:13" ht="13.5" thickBot="1">
      <c r="A17" s="110">
        <v>1</v>
      </c>
      <c r="B17" s="9">
        <v>2</v>
      </c>
      <c r="C17" s="173">
        <v>3</v>
      </c>
      <c r="D17" s="5">
        <v>4</v>
      </c>
      <c r="E17" s="6">
        <v>5</v>
      </c>
      <c r="F17" s="5">
        <v>6</v>
      </c>
      <c r="G17" s="6">
        <v>7</v>
      </c>
      <c r="H17" s="5">
        <v>8</v>
      </c>
      <c r="I17" s="6">
        <v>9</v>
      </c>
      <c r="J17" s="173">
        <v>10</v>
      </c>
      <c r="K17" s="5">
        <v>11</v>
      </c>
      <c r="L17" s="6">
        <v>12</v>
      </c>
      <c r="M17" s="111" t="s">
        <v>167</v>
      </c>
    </row>
    <row r="18" spans="1:13" ht="13.5" thickBot="1">
      <c r="A18" s="29" t="s">
        <v>22</v>
      </c>
      <c r="B18" s="129" t="s">
        <v>45</v>
      </c>
      <c r="C18" s="49">
        <f>SUM(C19)</f>
        <v>16023618</v>
      </c>
      <c r="D18" s="50">
        <f>SUM(D19)</f>
        <v>10201586</v>
      </c>
      <c r="E18" s="51">
        <f>SUM(E19)</f>
        <v>1188861</v>
      </c>
      <c r="F18" s="51">
        <f aca="true" t="shared" si="0" ref="F18:L18">SUM(F19)</f>
        <v>1265177</v>
      </c>
      <c r="G18" s="51">
        <f t="shared" si="0"/>
        <v>954701</v>
      </c>
      <c r="H18" s="50">
        <f t="shared" si="0"/>
        <v>211175</v>
      </c>
      <c r="I18" s="50">
        <f t="shared" si="0"/>
        <v>129052</v>
      </c>
      <c r="J18" s="50">
        <f t="shared" si="0"/>
        <v>310476</v>
      </c>
      <c r="K18" s="50">
        <f t="shared" si="0"/>
        <v>140000</v>
      </c>
      <c r="L18" s="50">
        <f t="shared" si="0"/>
        <v>0</v>
      </c>
      <c r="M18" s="126">
        <f aca="true" t="shared" si="1" ref="M18:M26">SUM(C18,F18)</f>
        <v>17288795</v>
      </c>
    </row>
    <row r="19" spans="1:13" ht="13.5" thickBot="1">
      <c r="A19" s="35" t="s">
        <v>7</v>
      </c>
      <c r="B19" s="112" t="s">
        <v>8</v>
      </c>
      <c r="C19" s="229">
        <v>16023618</v>
      </c>
      <c r="D19" s="113">
        <v>10201586</v>
      </c>
      <c r="E19" s="109">
        <v>1188861</v>
      </c>
      <c r="F19" s="231">
        <f>1125177+140000</f>
        <v>1265177</v>
      </c>
      <c r="G19" s="109">
        <f>SUM(F19)-J19</f>
        <v>954701</v>
      </c>
      <c r="H19" s="113">
        <v>211175</v>
      </c>
      <c r="I19" s="109">
        <v>129052</v>
      </c>
      <c r="J19" s="235">
        <f>170476+140000</f>
        <v>310476</v>
      </c>
      <c r="K19" s="235">
        <v>140000</v>
      </c>
      <c r="L19" s="236"/>
      <c r="M19" s="128">
        <f t="shared" si="1"/>
        <v>17288795</v>
      </c>
    </row>
    <row r="20" spans="1:13" ht="13.5" thickBot="1">
      <c r="A20" s="26" t="s">
        <v>23</v>
      </c>
      <c r="B20" s="33" t="s">
        <v>24</v>
      </c>
      <c r="C20" s="74">
        <f>SUM(C21:C34)</f>
        <v>207888652</v>
      </c>
      <c r="D20" s="74">
        <f aca="true" t="shared" si="2" ref="D20:L20">SUM(D21:D34)</f>
        <v>114915239</v>
      </c>
      <c r="E20" s="74">
        <f t="shared" si="2"/>
        <v>37971336</v>
      </c>
      <c r="F20" s="74">
        <f t="shared" si="2"/>
        <v>10611263</v>
      </c>
      <c r="G20" s="74">
        <f t="shared" si="2"/>
        <v>6211263</v>
      </c>
      <c r="H20" s="74">
        <f t="shared" si="2"/>
        <v>95174</v>
      </c>
      <c r="I20" s="74">
        <f t="shared" si="2"/>
        <v>2179806</v>
      </c>
      <c r="J20" s="74">
        <f t="shared" si="2"/>
        <v>4400000</v>
      </c>
      <c r="K20" s="74">
        <f t="shared" si="2"/>
        <v>4400000</v>
      </c>
      <c r="L20" s="74">
        <f t="shared" si="2"/>
        <v>0</v>
      </c>
      <c r="M20" s="75">
        <f t="shared" si="1"/>
        <v>218499915</v>
      </c>
    </row>
    <row r="21" spans="1:13" ht="12.75">
      <c r="A21" s="141" t="s">
        <v>99</v>
      </c>
      <c r="B21" s="145" t="s">
        <v>100</v>
      </c>
      <c r="C21" s="133">
        <v>83963256</v>
      </c>
      <c r="D21" s="63">
        <v>41883374</v>
      </c>
      <c r="E21" s="144">
        <f>20610100-2555920</f>
        <v>18054180</v>
      </c>
      <c r="F21" s="299">
        <f>SUM(G21+J21)</f>
        <v>5446990</v>
      </c>
      <c r="G21" s="144">
        <v>3746990</v>
      </c>
      <c r="H21" s="81">
        <v>51686</v>
      </c>
      <c r="I21" s="144">
        <v>2786</v>
      </c>
      <c r="J21" s="63">
        <f>SUM(K21)</f>
        <v>1700000</v>
      </c>
      <c r="K21" s="63">
        <f>1500000+200000</f>
        <v>1700000</v>
      </c>
      <c r="L21" s="63"/>
      <c r="M21" s="142">
        <f t="shared" si="1"/>
        <v>89410246</v>
      </c>
    </row>
    <row r="22" spans="1:13" ht="12.75">
      <c r="A22" s="150" t="s">
        <v>101</v>
      </c>
      <c r="B22" s="146" t="s">
        <v>102</v>
      </c>
      <c r="C22" s="59">
        <v>105306880</v>
      </c>
      <c r="D22" s="67">
        <v>62508252</v>
      </c>
      <c r="E22" s="67">
        <f>19616465-2397912</f>
        <v>17218553</v>
      </c>
      <c r="F22" s="67">
        <f aca="true" t="shared" si="3" ref="F22:F31">SUM(G22+J22)</f>
        <v>4378333</v>
      </c>
      <c r="G22" s="67">
        <v>2328333</v>
      </c>
      <c r="H22" s="67"/>
      <c r="I22" s="67">
        <v>2114677</v>
      </c>
      <c r="J22" s="67">
        <f aca="true" t="shared" si="4" ref="J22:J31">SUM(K22)</f>
        <v>2050000</v>
      </c>
      <c r="K22" s="67">
        <f>2020000+30000</f>
        <v>2050000</v>
      </c>
      <c r="L22" s="67"/>
      <c r="M22" s="79">
        <f t="shared" si="1"/>
        <v>109685213</v>
      </c>
    </row>
    <row r="23" spans="1:13" ht="12.75">
      <c r="A23" s="150" t="s">
        <v>103</v>
      </c>
      <c r="B23" s="146" t="s">
        <v>104</v>
      </c>
      <c r="C23" s="59">
        <v>2503730</v>
      </c>
      <c r="D23" s="67">
        <v>1516540</v>
      </c>
      <c r="E23" s="67">
        <v>405356</v>
      </c>
      <c r="F23" s="67">
        <f t="shared" si="3"/>
        <v>144408</v>
      </c>
      <c r="G23" s="67">
        <v>14408</v>
      </c>
      <c r="H23" s="67"/>
      <c r="I23" s="67">
        <v>13223</v>
      </c>
      <c r="J23" s="67">
        <f t="shared" si="4"/>
        <v>130000</v>
      </c>
      <c r="K23" s="67">
        <v>130000</v>
      </c>
      <c r="L23" s="67"/>
      <c r="M23" s="142">
        <f t="shared" si="1"/>
        <v>2648138</v>
      </c>
    </row>
    <row r="24" spans="1:13" ht="12.75">
      <c r="A24" s="152" t="s">
        <v>105</v>
      </c>
      <c r="B24" s="42" t="s">
        <v>189</v>
      </c>
      <c r="C24" s="59">
        <v>2903539</v>
      </c>
      <c r="D24" s="65">
        <v>1246009</v>
      </c>
      <c r="E24" s="65">
        <v>589761</v>
      </c>
      <c r="F24" s="103">
        <f t="shared" si="3"/>
        <v>132925</v>
      </c>
      <c r="G24" s="67">
        <v>2925</v>
      </c>
      <c r="H24" s="65"/>
      <c r="I24" s="65"/>
      <c r="J24" s="65">
        <f t="shared" si="4"/>
        <v>130000</v>
      </c>
      <c r="K24" s="65">
        <v>130000</v>
      </c>
      <c r="L24" s="65"/>
      <c r="M24" s="84">
        <f t="shared" si="1"/>
        <v>3036464</v>
      </c>
    </row>
    <row r="25" spans="1:13" ht="12.75">
      <c r="A25" s="46" t="s">
        <v>106</v>
      </c>
      <c r="B25" s="42" t="s">
        <v>152</v>
      </c>
      <c r="C25" s="59"/>
      <c r="D25" s="66"/>
      <c r="E25" s="65"/>
      <c r="F25" s="65"/>
      <c r="G25" s="64"/>
      <c r="H25" s="65"/>
      <c r="I25" s="66"/>
      <c r="J25" s="65"/>
      <c r="K25" s="122"/>
      <c r="L25" s="65"/>
      <c r="M25" s="162"/>
    </row>
    <row r="26" spans="1:13" ht="12.75">
      <c r="A26" s="47"/>
      <c r="B26" s="44" t="s">
        <v>151</v>
      </c>
      <c r="C26" s="61">
        <v>3061297</v>
      </c>
      <c r="D26" s="85">
        <v>2055470</v>
      </c>
      <c r="E26" s="103">
        <v>229668</v>
      </c>
      <c r="F26" s="103">
        <f t="shared" si="3"/>
        <v>52634</v>
      </c>
      <c r="G26" s="85">
        <v>32634</v>
      </c>
      <c r="H26" s="103"/>
      <c r="I26" s="85">
        <v>31460</v>
      </c>
      <c r="J26" s="103">
        <f t="shared" si="4"/>
        <v>20000</v>
      </c>
      <c r="K26" s="123">
        <v>20000</v>
      </c>
      <c r="L26" s="103"/>
      <c r="M26" s="79">
        <f t="shared" si="1"/>
        <v>3113931</v>
      </c>
    </row>
    <row r="27" spans="1:13" ht="12.75">
      <c r="A27" s="161" t="s">
        <v>107</v>
      </c>
      <c r="B27" s="44" t="s">
        <v>108</v>
      </c>
      <c r="C27" s="61">
        <f>1003666+4591799</f>
        <v>5595465</v>
      </c>
      <c r="D27" s="123">
        <f>2650835+388830</f>
        <v>3039665</v>
      </c>
      <c r="E27" s="103">
        <f>118805+1070499-136610</f>
        <v>1052694</v>
      </c>
      <c r="F27" s="103">
        <f t="shared" si="3"/>
        <v>376137</v>
      </c>
      <c r="G27" s="64">
        <f>76137</f>
        <v>76137</v>
      </c>
      <c r="H27" s="103">
        <f>43488</f>
        <v>43488</v>
      </c>
      <c r="I27" s="103">
        <f>9060</f>
        <v>9060</v>
      </c>
      <c r="J27" s="103">
        <f t="shared" si="4"/>
        <v>300000</v>
      </c>
      <c r="K27" s="103">
        <v>300000</v>
      </c>
      <c r="L27" s="103"/>
      <c r="M27" s="82">
        <f aca="true" t="shared" si="5" ref="M27:M34">SUM(C27,F27)</f>
        <v>5971602</v>
      </c>
    </row>
    <row r="28" spans="1:13" ht="12.75">
      <c r="A28" s="150" t="s">
        <v>109</v>
      </c>
      <c r="B28" s="146" t="s">
        <v>110</v>
      </c>
      <c r="C28" s="57">
        <v>811190</v>
      </c>
      <c r="D28" s="172">
        <v>431419</v>
      </c>
      <c r="E28" s="67">
        <v>42506</v>
      </c>
      <c r="F28" s="103"/>
      <c r="G28" s="67"/>
      <c r="H28" s="67"/>
      <c r="I28" s="67"/>
      <c r="J28" s="67">
        <f t="shared" si="4"/>
        <v>0</v>
      </c>
      <c r="K28" s="67"/>
      <c r="L28" s="67"/>
      <c r="M28" s="142">
        <f t="shared" si="5"/>
        <v>811190</v>
      </c>
    </row>
    <row r="29" spans="1:13" ht="12.75">
      <c r="A29" s="150" t="s">
        <v>111</v>
      </c>
      <c r="B29" s="146" t="s">
        <v>112</v>
      </c>
      <c r="C29" s="69">
        <v>1529948</v>
      </c>
      <c r="D29" s="172">
        <v>963648</v>
      </c>
      <c r="E29" s="67">
        <v>74141</v>
      </c>
      <c r="F29" s="103">
        <f t="shared" si="3"/>
        <v>20000</v>
      </c>
      <c r="G29" s="67"/>
      <c r="H29" s="67"/>
      <c r="I29" s="67"/>
      <c r="J29" s="67">
        <f t="shared" si="4"/>
        <v>20000</v>
      </c>
      <c r="K29" s="67">
        <v>20000</v>
      </c>
      <c r="L29" s="67"/>
      <c r="M29" s="79">
        <f t="shared" si="5"/>
        <v>1549948</v>
      </c>
    </row>
    <row r="30" spans="1:13" ht="12.75">
      <c r="A30" s="150" t="s">
        <v>113</v>
      </c>
      <c r="B30" s="146" t="s">
        <v>114</v>
      </c>
      <c r="C30" s="69">
        <v>34283</v>
      </c>
      <c r="D30" s="172">
        <v>25123</v>
      </c>
      <c r="E30" s="67"/>
      <c r="F30" s="103"/>
      <c r="G30" s="67"/>
      <c r="H30" s="67"/>
      <c r="I30" s="67"/>
      <c r="J30" s="67"/>
      <c r="K30" s="67"/>
      <c r="L30" s="67"/>
      <c r="M30" s="142">
        <f t="shared" si="5"/>
        <v>34283</v>
      </c>
    </row>
    <row r="31" spans="1:13" ht="12.75">
      <c r="A31" s="150" t="s">
        <v>115</v>
      </c>
      <c r="B31" s="146" t="s">
        <v>116</v>
      </c>
      <c r="C31" s="61">
        <v>2021324</v>
      </c>
      <c r="D31" s="172">
        <v>1245739</v>
      </c>
      <c r="E31" s="67">
        <f>10889+293588</f>
        <v>304477</v>
      </c>
      <c r="F31" s="103">
        <f t="shared" si="3"/>
        <v>59836</v>
      </c>
      <c r="G31" s="64">
        <v>9836</v>
      </c>
      <c r="H31" s="67"/>
      <c r="I31" s="67">
        <v>8600</v>
      </c>
      <c r="J31" s="67">
        <f t="shared" si="4"/>
        <v>50000</v>
      </c>
      <c r="K31" s="67">
        <v>50000</v>
      </c>
      <c r="L31" s="67"/>
      <c r="M31" s="79">
        <f t="shared" si="5"/>
        <v>2081160</v>
      </c>
    </row>
    <row r="32" spans="1:13" ht="12.75">
      <c r="A32" s="152" t="s">
        <v>117</v>
      </c>
      <c r="B32" s="42" t="s">
        <v>118</v>
      </c>
      <c r="C32" s="57">
        <v>60000</v>
      </c>
      <c r="D32" s="122"/>
      <c r="E32" s="65"/>
      <c r="F32" s="65"/>
      <c r="G32" s="65"/>
      <c r="H32" s="65"/>
      <c r="I32" s="65"/>
      <c r="J32" s="65"/>
      <c r="K32" s="65"/>
      <c r="L32" s="65"/>
      <c r="M32" s="84">
        <f t="shared" si="5"/>
        <v>60000</v>
      </c>
    </row>
    <row r="33" spans="1:13" ht="12.75">
      <c r="A33" s="46" t="s">
        <v>119</v>
      </c>
      <c r="B33" s="42" t="s">
        <v>154</v>
      </c>
      <c r="C33" s="59"/>
      <c r="D33" s="66"/>
      <c r="E33" s="65"/>
      <c r="F33" s="65"/>
      <c r="G33" s="66"/>
      <c r="H33" s="65"/>
      <c r="I33" s="66"/>
      <c r="J33" s="65"/>
      <c r="K33" s="65"/>
      <c r="L33" s="66"/>
      <c r="M33" s="84"/>
    </row>
    <row r="34" spans="1:13" ht="13.5" thickBot="1">
      <c r="A34" s="45"/>
      <c r="B34" s="43" t="s">
        <v>153</v>
      </c>
      <c r="C34" s="166">
        <v>97740</v>
      </c>
      <c r="D34" s="64"/>
      <c r="E34" s="63"/>
      <c r="F34" s="58"/>
      <c r="G34" s="64"/>
      <c r="H34" s="63"/>
      <c r="I34" s="64"/>
      <c r="J34" s="63"/>
      <c r="K34" s="109"/>
      <c r="L34" s="64"/>
      <c r="M34" s="84">
        <f t="shared" si="5"/>
        <v>97740</v>
      </c>
    </row>
    <row r="35" spans="1:13" ht="13.5" thickBot="1">
      <c r="A35" s="26" t="s">
        <v>25</v>
      </c>
      <c r="B35" s="28" t="s">
        <v>26</v>
      </c>
      <c r="C35" s="54">
        <f>SUM(C36:C45)</f>
        <v>120396386</v>
      </c>
      <c r="D35" s="54">
        <f>SUM(D36:D45)</f>
        <v>71694900</v>
      </c>
      <c r="E35" s="54">
        <f aca="true" t="shared" si="6" ref="E35:L35">SUM(E36:E45)</f>
        <v>16252482</v>
      </c>
      <c r="F35" s="54">
        <f t="shared" si="6"/>
        <v>4684913</v>
      </c>
      <c r="G35" s="54">
        <f t="shared" si="6"/>
        <v>2512689</v>
      </c>
      <c r="H35" s="54">
        <f t="shared" si="6"/>
        <v>240258</v>
      </c>
      <c r="I35" s="54">
        <f t="shared" si="6"/>
        <v>283623</v>
      </c>
      <c r="J35" s="54">
        <f t="shared" si="6"/>
        <v>2172224</v>
      </c>
      <c r="K35" s="54">
        <f t="shared" si="6"/>
        <v>2000000</v>
      </c>
      <c r="L35" s="54">
        <f t="shared" si="6"/>
        <v>0</v>
      </c>
      <c r="M35" s="55">
        <f aca="true" t="shared" si="7" ref="M35:M41">SUM(C35,F35)</f>
        <v>125081299</v>
      </c>
    </row>
    <row r="36" spans="1:13" s="147" customFormat="1" ht="12">
      <c r="A36" s="45" t="s">
        <v>120</v>
      </c>
      <c r="B36" s="43" t="s">
        <v>121</v>
      </c>
      <c r="C36" s="57">
        <v>65582256</v>
      </c>
      <c r="D36" s="81">
        <v>37557800</v>
      </c>
      <c r="E36" s="63">
        <v>10871282</v>
      </c>
      <c r="F36" s="103">
        <v>1253793</v>
      </c>
      <c r="G36" s="81">
        <v>1115793</v>
      </c>
      <c r="H36" s="63">
        <v>29105</v>
      </c>
      <c r="I36" s="81">
        <v>166162</v>
      </c>
      <c r="J36" s="63">
        <v>138000</v>
      </c>
      <c r="K36" s="81"/>
      <c r="L36" s="81"/>
      <c r="M36" s="82">
        <f t="shared" si="7"/>
        <v>66836049</v>
      </c>
    </row>
    <row r="37" spans="1:13" s="147" customFormat="1" ht="12">
      <c r="A37" s="160" t="s">
        <v>122</v>
      </c>
      <c r="B37" s="146" t="s">
        <v>123</v>
      </c>
      <c r="C37" s="59">
        <v>19879489</v>
      </c>
      <c r="D37" s="143">
        <v>12669900</v>
      </c>
      <c r="E37" s="67">
        <v>1878438</v>
      </c>
      <c r="F37" s="67">
        <v>863266</v>
      </c>
      <c r="G37" s="143">
        <v>863266</v>
      </c>
      <c r="H37" s="67">
        <v>211153</v>
      </c>
      <c r="I37" s="143">
        <v>16647</v>
      </c>
      <c r="J37" s="67"/>
      <c r="K37" s="143"/>
      <c r="L37" s="143"/>
      <c r="M37" s="79">
        <f t="shared" si="7"/>
        <v>20742755</v>
      </c>
    </row>
    <row r="38" spans="1:13" s="147" customFormat="1" ht="12">
      <c r="A38" s="160" t="s">
        <v>124</v>
      </c>
      <c r="B38" s="146" t="s">
        <v>125</v>
      </c>
      <c r="C38" s="59">
        <v>14811253</v>
      </c>
      <c r="D38" s="143">
        <v>8944300</v>
      </c>
      <c r="E38" s="67">
        <v>1892505</v>
      </c>
      <c r="F38" s="67">
        <v>436497</v>
      </c>
      <c r="G38" s="143">
        <v>436497</v>
      </c>
      <c r="H38" s="67"/>
      <c r="I38" s="143">
        <v>49688</v>
      </c>
      <c r="J38" s="67"/>
      <c r="K38" s="143"/>
      <c r="L38" s="143"/>
      <c r="M38" s="79">
        <f t="shared" si="7"/>
        <v>15247750</v>
      </c>
    </row>
    <row r="39" spans="1:13" s="147" customFormat="1" ht="12">
      <c r="A39" s="160" t="s">
        <v>126</v>
      </c>
      <c r="B39" s="146" t="s">
        <v>127</v>
      </c>
      <c r="C39" s="59">
        <v>12401598</v>
      </c>
      <c r="D39" s="143">
        <v>8008900</v>
      </c>
      <c r="E39" s="67">
        <v>868566</v>
      </c>
      <c r="F39" s="67">
        <f>74832+300000</f>
        <v>374832</v>
      </c>
      <c r="G39" s="143">
        <v>40608</v>
      </c>
      <c r="H39" s="67"/>
      <c r="I39" s="143">
        <v>38608</v>
      </c>
      <c r="J39" s="67">
        <f>34224+300000</f>
        <v>334224</v>
      </c>
      <c r="K39" s="143">
        <v>300000</v>
      </c>
      <c r="L39" s="143"/>
      <c r="M39" s="79">
        <f t="shared" si="7"/>
        <v>12776430</v>
      </c>
    </row>
    <row r="40" spans="1:13" s="147" customFormat="1" ht="12">
      <c r="A40" s="160" t="s">
        <v>128</v>
      </c>
      <c r="B40" s="146" t="s">
        <v>129</v>
      </c>
      <c r="C40" s="59">
        <v>3009219</v>
      </c>
      <c r="D40" s="143">
        <v>1947100</v>
      </c>
      <c r="E40" s="67">
        <v>217222</v>
      </c>
      <c r="F40" s="67"/>
      <c r="G40" s="143"/>
      <c r="H40" s="67"/>
      <c r="I40" s="143"/>
      <c r="J40" s="67"/>
      <c r="K40" s="143"/>
      <c r="L40" s="143"/>
      <c r="M40" s="79">
        <f t="shared" si="7"/>
        <v>3009219</v>
      </c>
    </row>
    <row r="41" spans="1:13" s="147" customFormat="1" ht="12">
      <c r="A41" s="298" t="s">
        <v>222</v>
      </c>
      <c r="B41" s="146" t="s">
        <v>223</v>
      </c>
      <c r="C41" s="59">
        <v>2472872</v>
      </c>
      <c r="D41" s="143">
        <v>1425600</v>
      </c>
      <c r="E41" s="67">
        <v>313474</v>
      </c>
      <c r="F41" s="272">
        <f>1700000-300000</f>
        <v>1400000</v>
      </c>
      <c r="G41" s="277"/>
      <c r="H41" s="67"/>
      <c r="I41" s="143"/>
      <c r="J41" s="67">
        <f>1700000-300000</f>
        <v>1400000</v>
      </c>
      <c r="K41" s="143">
        <f>1700000-300000</f>
        <v>1400000</v>
      </c>
      <c r="L41" s="143"/>
      <c r="M41" s="79">
        <f t="shared" si="7"/>
        <v>3872872</v>
      </c>
    </row>
    <row r="42" spans="1:13" s="147" customFormat="1" ht="12">
      <c r="A42" s="262" t="s">
        <v>130</v>
      </c>
      <c r="B42" s="146" t="s">
        <v>131</v>
      </c>
      <c r="C42" s="69">
        <v>1991041</v>
      </c>
      <c r="D42" s="143">
        <v>1141300</v>
      </c>
      <c r="E42" s="67">
        <v>210995</v>
      </c>
      <c r="F42" s="67">
        <f>56525+300000</f>
        <v>356525</v>
      </c>
      <c r="G42" s="143">
        <v>56525</v>
      </c>
      <c r="H42" s="67"/>
      <c r="I42" s="143">
        <v>12518</v>
      </c>
      <c r="J42" s="67">
        <v>300000</v>
      </c>
      <c r="K42" s="143">
        <v>300000</v>
      </c>
      <c r="L42" s="143"/>
      <c r="M42" s="79">
        <f>SUM(C42,F42)</f>
        <v>2347566</v>
      </c>
    </row>
    <row r="43" spans="1:13" s="147" customFormat="1" ht="12">
      <c r="A43" s="309" t="s">
        <v>226</v>
      </c>
      <c r="B43" s="43" t="s">
        <v>228</v>
      </c>
      <c r="C43" s="57">
        <v>124608</v>
      </c>
      <c r="D43" s="81"/>
      <c r="E43" s="63"/>
      <c r="F43" s="63"/>
      <c r="G43" s="81"/>
      <c r="H43" s="63"/>
      <c r="I43" s="81"/>
      <c r="J43" s="63"/>
      <c r="K43" s="81"/>
      <c r="L43" s="81"/>
      <c r="M43" s="79">
        <f>SUM(C43,F43)</f>
        <v>124608</v>
      </c>
    </row>
    <row r="44" spans="1:13" s="147" customFormat="1" ht="12">
      <c r="A44" s="262" t="s">
        <v>227</v>
      </c>
      <c r="B44" s="146" t="s">
        <v>229</v>
      </c>
      <c r="C44" s="69">
        <v>72550</v>
      </c>
      <c r="D44" s="143"/>
      <c r="E44" s="67"/>
      <c r="F44" s="67"/>
      <c r="G44" s="143"/>
      <c r="H44" s="67"/>
      <c r="I44" s="143"/>
      <c r="J44" s="67"/>
      <c r="K44" s="143"/>
      <c r="L44" s="143"/>
      <c r="M44" s="79">
        <f>SUM(C44,F44)</f>
        <v>72550</v>
      </c>
    </row>
    <row r="45" spans="1:13" s="147" customFormat="1" ht="12.75" thickBot="1">
      <c r="A45" s="45" t="s">
        <v>214</v>
      </c>
      <c r="B45" s="43" t="s">
        <v>215</v>
      </c>
      <c r="C45" s="57">
        <v>51500</v>
      </c>
      <c r="D45" s="81"/>
      <c r="E45" s="63"/>
      <c r="F45" s="63"/>
      <c r="G45" s="81"/>
      <c r="H45" s="63"/>
      <c r="I45" s="81"/>
      <c r="J45" s="63"/>
      <c r="K45" s="81"/>
      <c r="L45" s="81"/>
      <c r="M45" s="82">
        <f>SUM(C45,F45)</f>
        <v>51500</v>
      </c>
    </row>
    <row r="46" spans="1:13" ht="13.5" thickBot="1">
      <c r="A46" s="29" t="s">
        <v>27</v>
      </c>
      <c r="B46" s="30" t="s">
        <v>43</v>
      </c>
      <c r="C46" s="54">
        <f aca="true" t="shared" si="8" ref="C46:M46">SUM(C47:C58)</f>
        <v>10248271</v>
      </c>
      <c r="D46" s="54">
        <f t="shared" si="8"/>
        <v>4419804</v>
      </c>
      <c r="E46" s="54">
        <f t="shared" si="8"/>
        <v>1235175</v>
      </c>
      <c r="F46" s="54">
        <f t="shared" si="8"/>
        <v>965662</v>
      </c>
      <c r="G46" s="54">
        <f t="shared" si="8"/>
        <v>165662</v>
      </c>
      <c r="H46" s="54">
        <f t="shared" si="8"/>
        <v>0</v>
      </c>
      <c r="I46" s="54">
        <f t="shared" si="8"/>
        <v>102353</v>
      </c>
      <c r="J46" s="54">
        <f t="shared" si="8"/>
        <v>800000</v>
      </c>
      <c r="K46" s="54">
        <f t="shared" si="8"/>
        <v>800000</v>
      </c>
      <c r="L46" s="54">
        <f t="shared" si="8"/>
        <v>0</v>
      </c>
      <c r="M46" s="54">
        <f t="shared" si="8"/>
        <v>11213933</v>
      </c>
    </row>
    <row r="47" spans="1:13" ht="12.75">
      <c r="A47" s="36" t="s">
        <v>14</v>
      </c>
      <c r="B47" s="22" t="s">
        <v>198</v>
      </c>
      <c r="C47" s="69">
        <f>1040900+300000</f>
        <v>1340900</v>
      </c>
      <c r="D47" s="70"/>
      <c r="E47" s="69"/>
      <c r="F47" s="69"/>
      <c r="G47" s="178"/>
      <c r="H47" s="69"/>
      <c r="I47" s="70"/>
      <c r="J47" s="69"/>
      <c r="K47" s="69"/>
      <c r="L47" s="69"/>
      <c r="M47" s="68">
        <f>SUM(C47,F47)</f>
        <v>1340900</v>
      </c>
    </row>
    <row r="48" spans="1:13" ht="12.75">
      <c r="A48" s="34" t="s">
        <v>170</v>
      </c>
      <c r="B48" s="174" t="s">
        <v>190</v>
      </c>
      <c r="C48" s="69">
        <v>125163</v>
      </c>
      <c r="D48" s="60"/>
      <c r="E48" s="61"/>
      <c r="F48" s="69"/>
      <c r="G48" s="60"/>
      <c r="H48" s="61"/>
      <c r="I48" s="60"/>
      <c r="J48" s="61"/>
      <c r="K48" s="61"/>
      <c r="L48" s="61"/>
      <c r="M48" s="68">
        <f>SUM(C48,F48)</f>
        <v>125163</v>
      </c>
    </row>
    <row r="49" spans="1:13" ht="12.75">
      <c r="A49" s="25" t="s">
        <v>71</v>
      </c>
      <c r="B49" s="17" t="s">
        <v>203</v>
      </c>
      <c r="C49" s="69">
        <v>328772</v>
      </c>
      <c r="D49" s="60">
        <v>214220</v>
      </c>
      <c r="E49" s="61">
        <v>13045</v>
      </c>
      <c r="F49" s="69">
        <v>9500</v>
      </c>
      <c r="G49" s="60"/>
      <c r="H49" s="61"/>
      <c r="I49" s="60"/>
      <c r="J49" s="61">
        <v>9500</v>
      </c>
      <c r="K49" s="61">
        <v>9500</v>
      </c>
      <c r="L49" s="61"/>
      <c r="M49" s="62">
        <f aca="true" t="shared" si="9" ref="M49:M77">SUM(C49,F49)</f>
        <v>338272</v>
      </c>
    </row>
    <row r="50" spans="1:13" ht="24">
      <c r="A50" s="25" t="s">
        <v>72</v>
      </c>
      <c r="B50" s="220" t="s">
        <v>225</v>
      </c>
      <c r="C50" s="69">
        <v>10000</v>
      </c>
      <c r="D50" s="60"/>
      <c r="E50" s="61"/>
      <c r="F50" s="69"/>
      <c r="G50" s="60"/>
      <c r="H50" s="61"/>
      <c r="I50" s="60"/>
      <c r="J50" s="61"/>
      <c r="K50" s="61"/>
      <c r="L50" s="61"/>
      <c r="M50" s="62">
        <f t="shared" si="9"/>
        <v>10000</v>
      </c>
    </row>
    <row r="51" spans="1:13" ht="12.75">
      <c r="A51" s="25" t="s">
        <v>15</v>
      </c>
      <c r="B51" s="17" t="s">
        <v>204</v>
      </c>
      <c r="C51" s="69">
        <v>345000</v>
      </c>
      <c r="D51" s="60"/>
      <c r="E51" s="61"/>
      <c r="F51" s="69"/>
      <c r="G51" s="60"/>
      <c r="H51" s="61"/>
      <c r="I51" s="60"/>
      <c r="J51" s="61"/>
      <c r="K51" s="61"/>
      <c r="L51" s="61"/>
      <c r="M51" s="62">
        <f t="shared" si="9"/>
        <v>345000</v>
      </c>
    </row>
    <row r="52" spans="1:13" ht="12.75">
      <c r="A52" s="25" t="s">
        <v>73</v>
      </c>
      <c r="B52" s="17" t="s">
        <v>75</v>
      </c>
      <c r="C52" s="69">
        <v>2865999</v>
      </c>
      <c r="D52" s="60">
        <v>1624713</v>
      </c>
      <c r="E52" s="61">
        <v>528852</v>
      </c>
      <c r="F52" s="61">
        <f>138326+790500</f>
        <v>928826</v>
      </c>
      <c r="G52" s="85">
        <v>138326</v>
      </c>
      <c r="H52" s="61"/>
      <c r="I52" s="60">
        <v>102353</v>
      </c>
      <c r="J52" s="61">
        <v>790500</v>
      </c>
      <c r="K52" s="61">
        <v>790500</v>
      </c>
      <c r="L52" s="61"/>
      <c r="M52" s="62">
        <f t="shared" si="9"/>
        <v>3794825</v>
      </c>
    </row>
    <row r="53" spans="1:13" ht="12.75">
      <c r="A53" s="37" t="s">
        <v>74</v>
      </c>
      <c r="B53" s="22" t="s">
        <v>70</v>
      </c>
      <c r="C53" s="69">
        <v>178200</v>
      </c>
      <c r="D53" s="70"/>
      <c r="E53" s="69"/>
      <c r="F53" s="69"/>
      <c r="G53" s="70"/>
      <c r="H53" s="69"/>
      <c r="I53" s="70"/>
      <c r="J53" s="69"/>
      <c r="K53" s="69"/>
      <c r="L53" s="69"/>
      <c r="M53" s="68">
        <f t="shared" si="9"/>
        <v>178200</v>
      </c>
    </row>
    <row r="54" spans="1:13" ht="12.75">
      <c r="A54" s="34" t="s">
        <v>209</v>
      </c>
      <c r="B54" s="17" t="s">
        <v>210</v>
      </c>
      <c r="C54" s="61">
        <v>30000</v>
      </c>
      <c r="D54" s="60"/>
      <c r="E54" s="61"/>
      <c r="F54" s="61"/>
      <c r="G54" s="60"/>
      <c r="H54" s="61"/>
      <c r="I54" s="60"/>
      <c r="J54" s="61"/>
      <c r="K54" s="71"/>
      <c r="L54" s="71"/>
      <c r="M54" s="68">
        <f t="shared" si="9"/>
        <v>30000</v>
      </c>
    </row>
    <row r="55" spans="1:13" ht="24">
      <c r="A55" s="219" t="s">
        <v>59</v>
      </c>
      <c r="B55" s="220" t="s">
        <v>191</v>
      </c>
      <c r="C55" s="158">
        <v>2579100</v>
      </c>
      <c r="D55" s="216">
        <v>1781309</v>
      </c>
      <c r="E55" s="158">
        <v>56750</v>
      </c>
      <c r="F55" s="61">
        <v>25000</v>
      </c>
      <c r="G55" s="108">
        <v>25000</v>
      </c>
      <c r="H55" s="158"/>
      <c r="I55" s="216"/>
      <c r="J55" s="158"/>
      <c r="K55" s="217"/>
      <c r="L55" s="217"/>
      <c r="M55" s="218">
        <f>SUM(C55,F55)</f>
        <v>2604100</v>
      </c>
    </row>
    <row r="56" spans="1:13" ht="48">
      <c r="A56" s="219" t="s">
        <v>183</v>
      </c>
      <c r="B56" s="221" t="s">
        <v>188</v>
      </c>
      <c r="C56" s="158">
        <v>480800</v>
      </c>
      <c r="D56" s="216"/>
      <c r="E56" s="158"/>
      <c r="F56" s="158"/>
      <c r="G56" s="216"/>
      <c r="H56" s="158"/>
      <c r="I56" s="216"/>
      <c r="J56" s="158"/>
      <c r="K56" s="217"/>
      <c r="L56" s="217"/>
      <c r="M56" s="218">
        <f>SUM(C56,F56)</f>
        <v>480800</v>
      </c>
    </row>
    <row r="57" spans="1:13" ht="12.75">
      <c r="A57" s="219" t="s">
        <v>217</v>
      </c>
      <c r="B57" s="221" t="s">
        <v>218</v>
      </c>
      <c r="C57" s="158">
        <v>1798737</v>
      </c>
      <c r="D57" s="216">
        <v>799562</v>
      </c>
      <c r="E57" s="158">
        <v>636528</v>
      </c>
      <c r="F57" s="158">
        <v>2336</v>
      </c>
      <c r="G57" s="216">
        <v>2336</v>
      </c>
      <c r="H57" s="158"/>
      <c r="I57" s="216"/>
      <c r="J57" s="158"/>
      <c r="K57" s="217"/>
      <c r="L57" s="217"/>
      <c r="M57" s="218">
        <f>SUM(C57,F57)</f>
        <v>1801073</v>
      </c>
    </row>
    <row r="58" spans="1:13" ht="13.5" thickBot="1">
      <c r="A58" s="37" t="s">
        <v>48</v>
      </c>
      <c r="B58" s="22" t="s">
        <v>192</v>
      </c>
      <c r="C58" s="69">
        <v>165600</v>
      </c>
      <c r="D58" s="69"/>
      <c r="E58" s="69"/>
      <c r="F58" s="69"/>
      <c r="G58" s="69"/>
      <c r="H58" s="69"/>
      <c r="I58" s="69"/>
      <c r="J58" s="69"/>
      <c r="K58" s="69"/>
      <c r="L58" s="69"/>
      <c r="M58" s="68">
        <f>SUM(C58,F58)</f>
        <v>165600</v>
      </c>
    </row>
    <row r="59" spans="1:13" ht="13.5" thickBot="1">
      <c r="A59" s="29" t="s">
        <v>78</v>
      </c>
      <c r="B59" s="27" t="s">
        <v>44</v>
      </c>
      <c r="C59" s="53">
        <f>SUM(C60:C61)</f>
        <v>10080000</v>
      </c>
      <c r="D59" s="53">
        <f aca="true" t="shared" si="10" ref="D59:L59">SUM(D60:D61)</f>
        <v>0</v>
      </c>
      <c r="E59" s="53">
        <f>SUM(E60:E61)</f>
        <v>2247000</v>
      </c>
      <c r="F59" s="53">
        <f t="shared" si="10"/>
        <v>10120000</v>
      </c>
      <c r="G59" s="53">
        <f t="shared" si="10"/>
        <v>0</v>
      </c>
      <c r="H59" s="53">
        <f t="shared" si="10"/>
        <v>0</v>
      </c>
      <c r="I59" s="53">
        <f t="shared" si="10"/>
        <v>0</v>
      </c>
      <c r="J59" s="53">
        <f t="shared" si="10"/>
        <v>10120000</v>
      </c>
      <c r="K59" s="53">
        <f t="shared" si="10"/>
        <v>10120000</v>
      </c>
      <c r="L59" s="53">
        <f t="shared" si="10"/>
        <v>0</v>
      </c>
      <c r="M59" s="55">
        <f t="shared" si="9"/>
        <v>20200000</v>
      </c>
    </row>
    <row r="60" spans="1:13" ht="12.75">
      <c r="A60" s="130" t="s">
        <v>76</v>
      </c>
      <c r="B60" s="131" t="s">
        <v>42</v>
      </c>
      <c r="C60" s="69"/>
      <c r="D60" s="132"/>
      <c r="E60" s="133"/>
      <c r="F60" s="133">
        <v>4970000</v>
      </c>
      <c r="G60" s="132"/>
      <c r="H60" s="133"/>
      <c r="I60" s="132"/>
      <c r="J60" s="133">
        <v>4970000</v>
      </c>
      <c r="K60" s="133">
        <v>4970000</v>
      </c>
      <c r="L60" s="133"/>
      <c r="M60" s="120">
        <f t="shared" si="9"/>
        <v>4970000</v>
      </c>
    </row>
    <row r="61" spans="1:13" ht="13.5" thickBot="1">
      <c r="A61" s="115">
        <v>100203</v>
      </c>
      <c r="B61" s="102" t="s">
        <v>29</v>
      </c>
      <c r="C61" s="69">
        <f>10100000-20000</f>
        <v>10080000</v>
      </c>
      <c r="D61" s="69"/>
      <c r="E61" s="311">
        <v>2247000</v>
      </c>
      <c r="F61" s="69">
        <v>5150000</v>
      </c>
      <c r="G61" s="69"/>
      <c r="H61" s="70"/>
      <c r="I61" s="69"/>
      <c r="J61" s="76">
        <v>5150000</v>
      </c>
      <c r="K61" s="70">
        <v>5150000</v>
      </c>
      <c r="L61" s="69"/>
      <c r="M61" s="68">
        <f t="shared" si="9"/>
        <v>15230000</v>
      </c>
    </row>
    <row r="62" spans="1:13" ht="13.5" thickBot="1">
      <c r="A62" s="26" t="s">
        <v>77</v>
      </c>
      <c r="B62" s="28" t="s">
        <v>30</v>
      </c>
      <c r="C62" s="54">
        <f>SUM(C63:C66)</f>
        <v>25015676</v>
      </c>
      <c r="D62" s="54">
        <f aca="true" t="shared" si="11" ref="D62:L62">SUM(D63:D66)</f>
        <v>16043336</v>
      </c>
      <c r="E62" s="54">
        <f t="shared" si="11"/>
        <v>1783470</v>
      </c>
      <c r="F62" s="54">
        <f t="shared" si="11"/>
        <v>2376190</v>
      </c>
      <c r="G62" s="54">
        <f t="shared" si="11"/>
        <v>1376190</v>
      </c>
      <c r="H62" s="54">
        <f t="shared" si="11"/>
        <v>910000</v>
      </c>
      <c r="I62" s="54">
        <f t="shared" si="11"/>
        <v>0</v>
      </c>
      <c r="J62" s="54">
        <f t="shared" si="11"/>
        <v>1000000</v>
      </c>
      <c r="K62" s="54">
        <f t="shared" si="11"/>
        <v>1000000</v>
      </c>
      <c r="L62" s="54">
        <f t="shared" si="11"/>
        <v>0</v>
      </c>
      <c r="M62" s="55">
        <f t="shared" si="9"/>
        <v>27391866</v>
      </c>
    </row>
    <row r="63" spans="1:13" s="147" customFormat="1" ht="12">
      <c r="A63" s="208" t="s">
        <v>132</v>
      </c>
      <c r="B63" s="209" t="s">
        <v>133</v>
      </c>
      <c r="C63" s="73">
        <v>972700</v>
      </c>
      <c r="D63" s="144"/>
      <c r="E63" s="211"/>
      <c r="F63" s="133">
        <f>G63+J63</f>
        <v>500000</v>
      </c>
      <c r="G63" s="206"/>
      <c r="H63" s="206"/>
      <c r="I63" s="144"/>
      <c r="J63" s="144">
        <v>500000</v>
      </c>
      <c r="K63" s="211">
        <v>500000</v>
      </c>
      <c r="L63" s="144"/>
      <c r="M63" s="230">
        <f t="shared" si="9"/>
        <v>1472700</v>
      </c>
    </row>
    <row r="64" spans="1:13" s="147" customFormat="1" ht="12">
      <c r="A64" s="152" t="s">
        <v>134</v>
      </c>
      <c r="B64" s="154" t="s">
        <v>135</v>
      </c>
      <c r="C64" s="69">
        <v>6570156</v>
      </c>
      <c r="D64" s="65">
        <v>3798951</v>
      </c>
      <c r="E64" s="66">
        <v>1074706</v>
      </c>
      <c r="F64" s="69">
        <f>G64+J64</f>
        <v>250000</v>
      </c>
      <c r="G64" s="83"/>
      <c r="H64" s="83"/>
      <c r="I64" s="65"/>
      <c r="J64" s="65">
        <v>250000</v>
      </c>
      <c r="K64" s="66">
        <v>250000</v>
      </c>
      <c r="L64" s="65"/>
      <c r="M64" s="62">
        <f t="shared" si="9"/>
        <v>6820156</v>
      </c>
    </row>
    <row r="65" spans="1:13" s="153" customFormat="1" ht="12">
      <c r="A65" s="150" t="s">
        <v>136</v>
      </c>
      <c r="B65" s="155" t="s">
        <v>137</v>
      </c>
      <c r="C65" s="69">
        <v>17130545</v>
      </c>
      <c r="D65" s="67">
        <v>12010135</v>
      </c>
      <c r="E65" s="151">
        <v>708764</v>
      </c>
      <c r="F65" s="69">
        <f>G65+J65</f>
        <v>1626190</v>
      </c>
      <c r="G65" s="143">
        <v>1376190</v>
      </c>
      <c r="H65" s="143">
        <v>910000</v>
      </c>
      <c r="I65" s="67"/>
      <c r="J65" s="67">
        <v>250000</v>
      </c>
      <c r="K65" s="151">
        <v>250000</v>
      </c>
      <c r="L65" s="67"/>
      <c r="M65" s="62">
        <f t="shared" si="9"/>
        <v>18756735</v>
      </c>
    </row>
    <row r="66" spans="1:13" s="147" customFormat="1" ht="12.75" thickBot="1">
      <c r="A66" s="149" t="s">
        <v>138</v>
      </c>
      <c r="B66" s="145" t="s">
        <v>139</v>
      </c>
      <c r="C66" s="69">
        <v>342275</v>
      </c>
      <c r="D66" s="63">
        <v>234250</v>
      </c>
      <c r="E66" s="64"/>
      <c r="F66" s="61">
        <f>G66+J66</f>
        <v>0</v>
      </c>
      <c r="G66" s="81"/>
      <c r="H66" s="81"/>
      <c r="I66" s="63"/>
      <c r="J66" s="63"/>
      <c r="K66" s="64"/>
      <c r="L66" s="63"/>
      <c r="M66" s="62">
        <f t="shared" si="9"/>
        <v>342275</v>
      </c>
    </row>
    <row r="67" spans="1:115" ht="13.5" thickBot="1">
      <c r="A67" s="26" t="s">
        <v>31</v>
      </c>
      <c r="B67" s="30" t="s">
        <v>32</v>
      </c>
      <c r="C67" s="54">
        <f>SUM(C68:C69)</f>
        <v>210000</v>
      </c>
      <c r="D67" s="54">
        <f aca="true" t="shared" si="12" ref="D67:L67">SUM(D68:D69)</f>
        <v>0</v>
      </c>
      <c r="E67" s="54">
        <f t="shared" si="12"/>
        <v>0</v>
      </c>
      <c r="F67" s="54">
        <f t="shared" si="12"/>
        <v>0</v>
      </c>
      <c r="G67" s="54">
        <f t="shared" si="12"/>
        <v>0</v>
      </c>
      <c r="H67" s="54">
        <f t="shared" si="12"/>
        <v>0</v>
      </c>
      <c r="I67" s="54">
        <f t="shared" si="12"/>
        <v>0</v>
      </c>
      <c r="J67" s="53">
        <f t="shared" si="12"/>
        <v>0</v>
      </c>
      <c r="K67" s="175"/>
      <c r="L67" s="54">
        <f t="shared" si="12"/>
        <v>0</v>
      </c>
      <c r="M67" s="286">
        <f t="shared" si="9"/>
        <v>210000</v>
      </c>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278"/>
      <c r="BS67" s="278"/>
      <c r="BT67" s="278"/>
      <c r="BU67" s="278"/>
      <c r="BV67" s="278"/>
      <c r="BW67" s="278"/>
      <c r="BX67" s="278"/>
      <c r="BY67" s="278"/>
      <c r="BZ67" s="278"/>
      <c r="CA67" s="278"/>
      <c r="CB67" s="278"/>
      <c r="CC67" s="278"/>
      <c r="CD67" s="278"/>
      <c r="CE67" s="278"/>
      <c r="CF67" s="278"/>
      <c r="CG67" s="278"/>
      <c r="CH67" s="278"/>
      <c r="CI67" s="278"/>
      <c r="CJ67" s="278"/>
      <c r="CK67" s="278"/>
      <c r="CL67" s="278"/>
      <c r="CM67" s="278"/>
      <c r="CN67" s="278"/>
      <c r="CO67" s="278"/>
      <c r="CP67" s="278"/>
      <c r="CQ67" s="278"/>
      <c r="CR67" s="278"/>
      <c r="CS67" s="278"/>
      <c r="CT67" s="278"/>
      <c r="CU67" s="278"/>
      <c r="CV67" s="278"/>
      <c r="CW67" s="278"/>
      <c r="CX67" s="278"/>
      <c r="CY67" s="278"/>
      <c r="CZ67" s="278"/>
      <c r="DA67" s="278"/>
      <c r="DB67" s="278"/>
      <c r="DC67" s="278"/>
      <c r="DD67" s="278"/>
      <c r="DE67" s="278"/>
      <c r="DF67" s="278"/>
      <c r="DG67" s="278"/>
      <c r="DH67" s="278"/>
      <c r="DI67" s="278"/>
      <c r="DJ67" s="278"/>
      <c r="DK67" s="278"/>
    </row>
    <row r="68" spans="1:115" s="207" customFormat="1" ht="12">
      <c r="A68" s="161" t="s">
        <v>140</v>
      </c>
      <c r="B68" s="157" t="s">
        <v>141</v>
      </c>
      <c r="C68" s="69">
        <v>50000</v>
      </c>
      <c r="D68" s="103"/>
      <c r="E68" s="85"/>
      <c r="F68" s="69">
        <f>SUM(J68,G68)</f>
        <v>0</v>
      </c>
      <c r="G68" s="86"/>
      <c r="H68" s="206"/>
      <c r="I68" s="103"/>
      <c r="J68" s="103"/>
      <c r="K68" s="85"/>
      <c r="L68" s="86"/>
      <c r="M68" s="287">
        <f t="shared" si="9"/>
        <v>50000</v>
      </c>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row>
    <row r="69" spans="1:115" s="147" customFormat="1" ht="12.75" thickBot="1">
      <c r="A69" s="149" t="s">
        <v>142</v>
      </c>
      <c r="B69" s="145" t="s">
        <v>143</v>
      </c>
      <c r="C69" s="57">
        <v>160000</v>
      </c>
      <c r="D69" s="63"/>
      <c r="E69" s="64"/>
      <c r="F69" s="57">
        <f>SUM(J69,G69)</f>
        <v>0</v>
      </c>
      <c r="G69" s="81"/>
      <c r="H69" s="81"/>
      <c r="I69" s="63"/>
      <c r="J69" s="109"/>
      <c r="K69" s="64"/>
      <c r="L69" s="81"/>
      <c r="M69" s="288">
        <f t="shared" si="9"/>
        <v>160000</v>
      </c>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row>
    <row r="70" spans="1:115" ht="13.5" thickBot="1">
      <c r="A70" s="26" t="s">
        <v>33</v>
      </c>
      <c r="B70" s="28" t="s">
        <v>34</v>
      </c>
      <c r="C70" s="51">
        <f>SUM(C71:C74)</f>
        <v>9977224</v>
      </c>
      <c r="D70" s="51">
        <f>SUM(D71:D74)</f>
        <v>5373547</v>
      </c>
      <c r="E70" s="51">
        <f>SUM(E71:E74)</f>
        <v>2262977</v>
      </c>
      <c r="F70" s="51">
        <f>SUM(F71:F74)</f>
        <v>1790522</v>
      </c>
      <c r="G70" s="51">
        <f>SUM(G71:G74)</f>
        <v>140522</v>
      </c>
      <c r="H70" s="51">
        <f>SUM(H71:H73)</f>
        <v>0</v>
      </c>
      <c r="I70" s="51">
        <f>SUM(I71:I74)</f>
        <v>41220</v>
      </c>
      <c r="J70" s="51">
        <f>SUM(J71:J74)</f>
        <v>1650000</v>
      </c>
      <c r="K70" s="51">
        <f>SUM(K71:K74)</f>
        <v>1650000</v>
      </c>
      <c r="L70" s="50">
        <f>SUM(L71:L74)</f>
        <v>0</v>
      </c>
      <c r="M70" s="286">
        <f t="shared" si="9"/>
        <v>11767746</v>
      </c>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278"/>
      <c r="CA70" s="278"/>
      <c r="CB70" s="278"/>
      <c r="CC70" s="278"/>
      <c r="CD70" s="278"/>
      <c r="CE70" s="278"/>
      <c r="CF70" s="278"/>
      <c r="CG70" s="278"/>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row>
    <row r="71" spans="1:115" s="207" customFormat="1" ht="12">
      <c r="A71" s="208" t="s">
        <v>144</v>
      </c>
      <c r="B71" s="209" t="s">
        <v>145</v>
      </c>
      <c r="C71" s="144">
        <v>175000</v>
      </c>
      <c r="D71" s="210"/>
      <c r="E71" s="211"/>
      <c r="F71" s="302">
        <f>SUM(G71+J71)</f>
        <v>0</v>
      </c>
      <c r="G71" s="206"/>
      <c r="H71" s="86"/>
      <c r="I71" s="144"/>
      <c r="J71" s="302">
        <f>SUM(K71)</f>
        <v>0</v>
      </c>
      <c r="K71" s="211"/>
      <c r="L71" s="206"/>
      <c r="M71" s="289">
        <f t="shared" si="9"/>
        <v>175000</v>
      </c>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row>
    <row r="72" spans="1:115" s="308" customFormat="1" ht="12">
      <c r="A72" s="300" t="s">
        <v>146</v>
      </c>
      <c r="B72" s="301" t="s">
        <v>147</v>
      </c>
      <c r="C72" s="302">
        <f>4342390+5345014</f>
        <v>9687404</v>
      </c>
      <c r="D72" s="303">
        <f>2636684+2693991</f>
        <v>5330675</v>
      </c>
      <c r="E72" s="304">
        <f>648589+1851772-247140</f>
        <v>2253221</v>
      </c>
      <c r="F72" s="302">
        <f>SUM(G72+J72)</f>
        <v>1500522</v>
      </c>
      <c r="G72" s="272">
        <f>140522</f>
        <v>140522</v>
      </c>
      <c r="H72" s="305"/>
      <c r="I72" s="302">
        <v>41220</v>
      </c>
      <c r="J72" s="302">
        <f>SUM(K72)</f>
        <v>1360000</v>
      </c>
      <c r="K72" s="304">
        <f>600000+760000</f>
        <v>1360000</v>
      </c>
      <c r="L72" s="305"/>
      <c r="M72" s="306">
        <f t="shared" si="9"/>
        <v>11187926</v>
      </c>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7"/>
      <c r="BX72" s="307"/>
      <c r="BY72" s="307"/>
      <c r="BZ72" s="307"/>
      <c r="CA72" s="307"/>
      <c r="CB72" s="307"/>
      <c r="CC72" s="307"/>
      <c r="CD72" s="307"/>
      <c r="CE72" s="307"/>
      <c r="CF72" s="307"/>
      <c r="CG72" s="307"/>
      <c r="CH72" s="307"/>
      <c r="CI72" s="307"/>
      <c r="CJ72" s="307"/>
      <c r="CK72" s="307"/>
      <c r="CL72" s="307"/>
      <c r="CM72" s="307"/>
      <c r="CN72" s="307"/>
      <c r="CO72" s="307"/>
      <c r="CP72" s="307"/>
      <c r="CQ72" s="307"/>
      <c r="CR72" s="307"/>
      <c r="CS72" s="307"/>
      <c r="CT72" s="307"/>
      <c r="CU72" s="307"/>
      <c r="CV72" s="307"/>
      <c r="CW72" s="307"/>
      <c r="CX72" s="307"/>
      <c r="CY72" s="307"/>
      <c r="CZ72" s="307"/>
      <c r="DA72" s="307"/>
      <c r="DB72" s="307"/>
      <c r="DC72" s="307"/>
      <c r="DD72" s="307"/>
      <c r="DE72" s="307"/>
      <c r="DF72" s="307"/>
      <c r="DG72" s="307"/>
      <c r="DH72" s="307"/>
      <c r="DI72" s="307"/>
      <c r="DJ72" s="307"/>
      <c r="DK72" s="307"/>
    </row>
    <row r="73" spans="1:115" s="207" customFormat="1" ht="12">
      <c r="A73" s="161" t="s">
        <v>148</v>
      </c>
      <c r="B73" s="157" t="s">
        <v>70</v>
      </c>
      <c r="C73" s="67">
        <v>24039</v>
      </c>
      <c r="D73" s="103"/>
      <c r="E73" s="85"/>
      <c r="F73" s="302">
        <f>SUM(G73+J73)</f>
        <v>0</v>
      </c>
      <c r="G73" s="86"/>
      <c r="H73" s="86"/>
      <c r="I73" s="103"/>
      <c r="J73" s="302">
        <f>SUM(K73)</f>
        <v>0</v>
      </c>
      <c r="K73" s="85"/>
      <c r="L73" s="86"/>
      <c r="M73" s="289">
        <f t="shared" si="9"/>
        <v>24039</v>
      </c>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row>
    <row r="74" spans="1:115" s="147" customFormat="1" ht="12.75" thickBot="1">
      <c r="A74" s="148" t="s">
        <v>184</v>
      </c>
      <c r="B74" s="156" t="s">
        <v>185</v>
      </c>
      <c r="C74" s="65">
        <v>90781</v>
      </c>
      <c r="D74" s="66">
        <v>42872</v>
      </c>
      <c r="E74" s="65">
        <v>9756</v>
      </c>
      <c r="F74" s="302">
        <f>SUM(G74+J74)</f>
        <v>290000</v>
      </c>
      <c r="G74" s="114"/>
      <c r="H74" s="114"/>
      <c r="I74" s="109"/>
      <c r="J74" s="302">
        <f>SUM(K74)</f>
        <v>290000</v>
      </c>
      <c r="K74" s="113">
        <v>290000</v>
      </c>
      <c r="L74" s="114"/>
      <c r="M74" s="289">
        <f>SUM(C74,F74)</f>
        <v>380781</v>
      </c>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row>
    <row r="75" spans="1:115" ht="15" customHeight="1" thickBot="1">
      <c r="A75" s="26" t="s">
        <v>35</v>
      </c>
      <c r="B75" s="30" t="s">
        <v>36</v>
      </c>
      <c r="C75" s="53">
        <f>SUM(C76:C76)</f>
        <v>0</v>
      </c>
      <c r="D75" s="53">
        <f aca="true" t="shared" si="13" ref="D75:I75">SUM(D76)</f>
        <v>0</v>
      </c>
      <c r="E75" s="53">
        <f t="shared" si="13"/>
        <v>0</v>
      </c>
      <c r="F75" s="310">
        <f>SUM(F76:F77)</f>
        <v>18130000</v>
      </c>
      <c r="G75" s="53">
        <f>SUM(G76:G77)</f>
        <v>1980000</v>
      </c>
      <c r="H75" s="53">
        <f t="shared" si="13"/>
        <v>0</v>
      </c>
      <c r="I75" s="53">
        <f t="shared" si="13"/>
        <v>0</v>
      </c>
      <c r="J75" s="53">
        <f>SUM(J76:J77)</f>
        <v>16150000</v>
      </c>
      <c r="K75" s="53">
        <f>SUM(K76:K77)</f>
        <v>18130000</v>
      </c>
      <c r="L75" s="55">
        <f>SUM(L76:L76)</f>
        <v>0</v>
      </c>
      <c r="M75" s="286">
        <f t="shared" si="9"/>
        <v>18130000</v>
      </c>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c r="BX75" s="278"/>
      <c r="BY75" s="278"/>
      <c r="BZ75" s="278"/>
      <c r="CA75" s="278"/>
      <c r="CB75" s="278"/>
      <c r="CC75" s="278"/>
      <c r="CD75" s="278"/>
      <c r="CE75" s="278"/>
      <c r="CF75" s="278"/>
      <c r="CG75" s="278"/>
      <c r="CH75" s="278"/>
      <c r="CI75" s="278"/>
      <c r="CJ75" s="278"/>
      <c r="CK75" s="278"/>
      <c r="CL75" s="278"/>
      <c r="CM75" s="278"/>
      <c r="CN75" s="278"/>
      <c r="CO75" s="278"/>
      <c r="CP75" s="278"/>
      <c r="CQ75" s="278"/>
      <c r="CR75" s="278"/>
      <c r="CS75" s="278"/>
      <c r="CT75" s="278"/>
      <c r="CU75" s="278"/>
      <c r="CV75" s="278"/>
      <c r="CW75" s="278"/>
      <c r="CX75" s="278"/>
      <c r="CY75" s="278"/>
      <c r="CZ75" s="278"/>
      <c r="DA75" s="278"/>
      <c r="DB75" s="278"/>
      <c r="DC75" s="278"/>
      <c r="DD75" s="278"/>
      <c r="DE75" s="278"/>
      <c r="DF75" s="278"/>
      <c r="DG75" s="278"/>
      <c r="DH75" s="278"/>
      <c r="DI75" s="278"/>
      <c r="DJ75" s="278"/>
      <c r="DK75" s="278"/>
    </row>
    <row r="76" spans="1:115" s="140" customFormat="1" ht="14.25" customHeight="1">
      <c r="A76" s="24" t="s">
        <v>19</v>
      </c>
      <c r="B76" s="117" t="s">
        <v>20</v>
      </c>
      <c r="C76" s="73"/>
      <c r="D76" s="73"/>
      <c r="E76" s="118"/>
      <c r="F76" s="73">
        <f>17630000-1480000</f>
        <v>16150000</v>
      </c>
      <c r="G76" s="73"/>
      <c r="H76" s="72"/>
      <c r="I76" s="73"/>
      <c r="J76" s="73">
        <f>17630000-1480000</f>
        <v>16150000</v>
      </c>
      <c r="K76" s="73">
        <f>10650000+6980000-1480000</f>
        <v>16150000</v>
      </c>
      <c r="L76" s="230"/>
      <c r="M76" s="293">
        <f t="shared" si="9"/>
        <v>16150000</v>
      </c>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278"/>
      <c r="BS76" s="278"/>
      <c r="BT76" s="278"/>
      <c r="BU76" s="278"/>
      <c r="BV76" s="278"/>
      <c r="BW76" s="278"/>
      <c r="BX76" s="278"/>
      <c r="BY76" s="278"/>
      <c r="BZ76" s="278"/>
      <c r="CA76" s="278"/>
      <c r="CB76" s="278"/>
      <c r="CC76" s="278"/>
      <c r="CD76" s="278"/>
      <c r="CE76" s="278"/>
      <c r="CF76" s="278"/>
      <c r="CG76" s="278"/>
      <c r="CH76" s="278"/>
      <c r="CI76" s="278"/>
      <c r="CJ76" s="278"/>
      <c r="CK76" s="278"/>
      <c r="CL76" s="278"/>
      <c r="CM76" s="278"/>
      <c r="CN76" s="278"/>
      <c r="CO76" s="278"/>
      <c r="CP76" s="278"/>
      <c r="CQ76" s="278"/>
      <c r="CR76" s="278"/>
      <c r="CS76" s="278"/>
      <c r="CT76" s="278"/>
      <c r="CU76" s="278"/>
      <c r="CV76" s="278"/>
      <c r="CW76" s="278"/>
      <c r="CX76" s="278"/>
      <c r="CY76" s="278"/>
      <c r="CZ76" s="278"/>
      <c r="DA76" s="278"/>
      <c r="DB76" s="278"/>
      <c r="DC76" s="278"/>
      <c r="DD76" s="278"/>
      <c r="DE76" s="278"/>
      <c r="DF76" s="278"/>
      <c r="DG76" s="278"/>
      <c r="DH76" s="278"/>
      <c r="DI76" s="278"/>
      <c r="DJ76" s="278"/>
      <c r="DK76" s="278"/>
    </row>
    <row r="77" spans="1:13" s="278" customFormat="1" ht="14.25" customHeight="1" thickBot="1">
      <c r="A77" s="35" t="s">
        <v>220</v>
      </c>
      <c r="B77" s="297" t="s">
        <v>221</v>
      </c>
      <c r="C77" s="279"/>
      <c r="D77" s="76"/>
      <c r="E77" s="56"/>
      <c r="F77" s="57">
        <f>500000+1480000</f>
        <v>1980000</v>
      </c>
      <c r="G77" s="76">
        <f>500000+1480000</f>
        <v>1980000</v>
      </c>
      <c r="H77" s="56"/>
      <c r="I77" s="279"/>
      <c r="J77" s="279"/>
      <c r="K77" s="279">
        <f>500000+1480000</f>
        <v>1980000</v>
      </c>
      <c r="L77" s="279"/>
      <c r="M77" s="290">
        <f t="shared" si="9"/>
        <v>1980000</v>
      </c>
    </row>
    <row r="78" spans="1:115" ht="12.75">
      <c r="A78" s="258" t="s">
        <v>37</v>
      </c>
      <c r="B78" s="259" t="s">
        <v>38</v>
      </c>
      <c r="C78" s="260"/>
      <c r="D78" s="260"/>
      <c r="E78" s="260"/>
      <c r="F78" s="133"/>
      <c r="G78" s="261"/>
      <c r="H78" s="260"/>
      <c r="I78" s="260"/>
      <c r="J78" s="260"/>
      <c r="K78" s="260"/>
      <c r="L78" s="260"/>
      <c r="M78" s="263"/>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c r="CF78" s="278"/>
      <c r="CG78" s="278"/>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row>
    <row r="79" spans="1:115" ht="13.5" thickBot="1">
      <c r="A79" s="31"/>
      <c r="B79" s="32" t="s">
        <v>60</v>
      </c>
      <c r="C79" s="74">
        <f>SUM(C80:C82)</f>
        <v>0</v>
      </c>
      <c r="D79" s="80">
        <f>SUM(D80:D82)</f>
        <v>0</v>
      </c>
      <c r="E79" s="80">
        <f>SUM(E80:E82)</f>
        <v>0</v>
      </c>
      <c r="F79" s="127">
        <f>SUM(J79,G79)</f>
        <v>1840000</v>
      </c>
      <c r="G79" s="78">
        <f>SUM(G80:G82)</f>
        <v>1840000</v>
      </c>
      <c r="H79" s="80">
        <f>SUM(H80:H82)</f>
        <v>0</v>
      </c>
      <c r="I79" s="78">
        <f>SUM(I80:I82)</f>
        <v>0</v>
      </c>
      <c r="J79" s="80">
        <f>SUM(J80:J82)</f>
        <v>0</v>
      </c>
      <c r="K79" s="80"/>
      <c r="L79" s="80">
        <f>SUM(L80:L82)</f>
        <v>0</v>
      </c>
      <c r="M79" s="264">
        <f aca="true" t="shared" si="14" ref="M79:M85">SUM(C79,F79)</f>
        <v>1840000</v>
      </c>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BY79" s="278"/>
      <c r="BZ79" s="278"/>
      <c r="CA79" s="278"/>
      <c r="CB79" s="278"/>
      <c r="CC79" s="278"/>
      <c r="CD79" s="278"/>
      <c r="CE79" s="278"/>
      <c r="CF79" s="278"/>
      <c r="CG79" s="278"/>
      <c r="CH79" s="278"/>
      <c r="CI79" s="278"/>
      <c r="CJ79" s="278"/>
      <c r="CK79" s="278"/>
      <c r="CL79" s="278"/>
      <c r="CM79" s="278"/>
      <c r="CN79" s="278"/>
      <c r="CO79" s="278"/>
      <c r="CP79" s="278"/>
      <c r="CQ79" s="278"/>
      <c r="CR79" s="278"/>
      <c r="CS79" s="278"/>
      <c r="CT79" s="278"/>
      <c r="CU79" s="278"/>
      <c r="CV79" s="278"/>
      <c r="CW79" s="278"/>
      <c r="CX79" s="278"/>
      <c r="CY79" s="278"/>
      <c r="CZ79" s="278"/>
      <c r="DA79" s="278"/>
      <c r="DB79" s="278"/>
      <c r="DC79" s="278"/>
      <c r="DD79" s="278"/>
      <c r="DE79" s="278"/>
      <c r="DF79" s="278"/>
      <c r="DG79" s="278"/>
      <c r="DH79" s="278"/>
      <c r="DI79" s="278"/>
      <c r="DJ79" s="278"/>
      <c r="DK79" s="278"/>
    </row>
    <row r="80" spans="1:115" ht="12.75">
      <c r="A80" s="45" t="s">
        <v>61</v>
      </c>
      <c r="B80" s="43" t="s">
        <v>62</v>
      </c>
      <c r="C80" s="59"/>
      <c r="D80" s="81"/>
      <c r="E80" s="81"/>
      <c r="F80" s="144"/>
      <c r="G80" s="81"/>
      <c r="H80" s="81"/>
      <c r="I80" s="81"/>
      <c r="J80" s="81"/>
      <c r="K80" s="81"/>
      <c r="L80" s="81"/>
      <c r="M80" s="290"/>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c r="BX80" s="278"/>
      <c r="BY80" s="278"/>
      <c r="BZ80" s="278"/>
      <c r="CA80" s="278"/>
      <c r="CB80" s="278"/>
      <c r="CC80" s="278"/>
      <c r="CD80" s="278"/>
      <c r="CE80" s="278"/>
      <c r="CF80" s="278"/>
      <c r="CG80" s="278"/>
      <c r="CH80" s="278"/>
      <c r="CI80" s="278"/>
      <c r="CJ80" s="278"/>
      <c r="CK80" s="278"/>
      <c r="CL80" s="278"/>
      <c r="CM80" s="278"/>
      <c r="CN80" s="278"/>
      <c r="CO80" s="278"/>
      <c r="CP80" s="278"/>
      <c r="CQ80" s="278"/>
      <c r="CR80" s="278"/>
      <c r="CS80" s="278"/>
      <c r="CT80" s="278"/>
      <c r="CU80" s="278"/>
      <c r="CV80" s="278"/>
      <c r="CW80" s="278"/>
      <c r="CX80" s="278"/>
      <c r="CY80" s="278"/>
      <c r="CZ80" s="278"/>
      <c r="DA80" s="278"/>
      <c r="DB80" s="278"/>
      <c r="DC80" s="278"/>
      <c r="DD80" s="278"/>
      <c r="DE80" s="278"/>
      <c r="DF80" s="278"/>
      <c r="DG80" s="278"/>
      <c r="DH80" s="278"/>
      <c r="DI80" s="278"/>
      <c r="DJ80" s="278"/>
      <c r="DK80" s="278"/>
    </row>
    <row r="81" spans="1:115" ht="12.75">
      <c r="A81" s="46" t="s">
        <v>64</v>
      </c>
      <c r="B81" s="42" t="s">
        <v>150</v>
      </c>
      <c r="C81" s="66"/>
      <c r="D81" s="83"/>
      <c r="E81" s="65"/>
      <c r="F81" s="56"/>
      <c r="G81" s="65"/>
      <c r="H81" s="66"/>
      <c r="I81" s="83"/>
      <c r="J81" s="65"/>
      <c r="K81" s="66"/>
      <c r="L81" s="83"/>
      <c r="M81" s="291"/>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c r="BX81" s="278"/>
      <c r="BY81" s="278"/>
      <c r="BZ81" s="278"/>
      <c r="CA81" s="278"/>
      <c r="CB81" s="278"/>
      <c r="CC81" s="278"/>
      <c r="CD81" s="278"/>
      <c r="CE81" s="278"/>
      <c r="CF81" s="278"/>
      <c r="CG81" s="278"/>
      <c r="CH81" s="278"/>
      <c r="CI81" s="278"/>
      <c r="CJ81" s="278"/>
      <c r="CK81" s="278"/>
      <c r="CL81" s="278"/>
      <c r="CM81" s="278"/>
      <c r="CN81" s="278"/>
      <c r="CO81" s="278"/>
      <c r="CP81" s="278"/>
      <c r="CQ81" s="278"/>
      <c r="CR81" s="278"/>
      <c r="CS81" s="278"/>
      <c r="CT81" s="278"/>
      <c r="CU81" s="278"/>
      <c r="CV81" s="278"/>
      <c r="CW81" s="278"/>
      <c r="CX81" s="278"/>
      <c r="CY81" s="278"/>
      <c r="CZ81" s="278"/>
      <c r="DA81" s="278"/>
      <c r="DB81" s="278"/>
      <c r="DC81" s="278"/>
      <c r="DD81" s="278"/>
      <c r="DE81" s="278"/>
      <c r="DF81" s="278"/>
      <c r="DG81" s="278"/>
      <c r="DH81" s="278"/>
      <c r="DI81" s="278"/>
      <c r="DJ81" s="278"/>
      <c r="DK81" s="278"/>
    </row>
    <row r="82" spans="1:115" ht="13.5" thickBot="1">
      <c r="A82" s="124"/>
      <c r="B82" s="125" t="s">
        <v>149</v>
      </c>
      <c r="C82" s="113"/>
      <c r="D82" s="114"/>
      <c r="E82" s="109"/>
      <c r="F82" s="113">
        <f>G82+J82</f>
        <v>1840000</v>
      </c>
      <c r="G82" s="109">
        <v>1840000</v>
      </c>
      <c r="H82" s="113"/>
      <c r="I82" s="312"/>
      <c r="J82" s="109"/>
      <c r="K82" s="113"/>
      <c r="L82" s="114"/>
      <c r="M82" s="292">
        <f t="shared" si="14"/>
        <v>1840000</v>
      </c>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8"/>
      <c r="BR82" s="278"/>
      <c r="BS82" s="278"/>
      <c r="BT82" s="278"/>
      <c r="BU82" s="278"/>
      <c r="BV82" s="278"/>
      <c r="BW82" s="278"/>
      <c r="BX82" s="278"/>
      <c r="BY82" s="278"/>
      <c r="BZ82" s="278"/>
      <c r="CA82" s="278"/>
      <c r="CB82" s="278"/>
      <c r="CC82" s="278"/>
      <c r="CD82" s="278"/>
      <c r="CE82" s="278"/>
      <c r="CF82" s="278"/>
      <c r="CG82" s="278"/>
      <c r="CH82" s="278"/>
      <c r="CI82" s="278"/>
      <c r="CJ82" s="278"/>
      <c r="CK82" s="278"/>
      <c r="CL82" s="278"/>
      <c r="CM82" s="278"/>
      <c r="CN82" s="278"/>
      <c r="CO82" s="278"/>
      <c r="CP82" s="278"/>
      <c r="CQ82" s="278"/>
      <c r="CR82" s="278"/>
      <c r="CS82" s="278"/>
      <c r="CT82" s="278"/>
      <c r="CU82" s="278"/>
      <c r="CV82" s="278"/>
      <c r="CW82" s="278"/>
      <c r="CX82" s="278"/>
      <c r="CY82" s="278"/>
      <c r="CZ82" s="278"/>
      <c r="DA82" s="278"/>
      <c r="DB82" s="278"/>
      <c r="DC82" s="278"/>
      <c r="DD82" s="278"/>
      <c r="DE82" s="278"/>
      <c r="DF82" s="278"/>
      <c r="DG82" s="278"/>
      <c r="DH82" s="278"/>
      <c r="DI82" s="278"/>
      <c r="DJ82" s="278"/>
      <c r="DK82" s="278"/>
    </row>
    <row r="83" spans="1:115" ht="13.5" thickBot="1">
      <c r="A83" s="26" t="s">
        <v>39</v>
      </c>
      <c r="B83" s="27" t="s">
        <v>65</v>
      </c>
      <c r="C83" s="53">
        <f>SUM(C84:C85)</f>
        <v>100000</v>
      </c>
      <c r="D83" s="53">
        <f aca="true" t="shared" si="15" ref="D83:L83">SUM(D84:D85)</f>
        <v>0</v>
      </c>
      <c r="E83" s="53">
        <f t="shared" si="15"/>
        <v>0</v>
      </c>
      <c r="F83" s="105">
        <f t="shared" si="15"/>
        <v>2900000</v>
      </c>
      <c r="G83" s="53">
        <f t="shared" si="15"/>
        <v>1400000</v>
      </c>
      <c r="H83" s="53">
        <f t="shared" si="15"/>
        <v>0</v>
      </c>
      <c r="I83" s="53">
        <f t="shared" si="15"/>
        <v>0</v>
      </c>
      <c r="J83" s="53">
        <f t="shared" si="15"/>
        <v>1500000</v>
      </c>
      <c r="K83" s="53">
        <f t="shared" si="15"/>
        <v>2900000</v>
      </c>
      <c r="L83" s="54">
        <f t="shared" si="15"/>
        <v>0</v>
      </c>
      <c r="M83" s="264">
        <f t="shared" si="14"/>
        <v>3000000</v>
      </c>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8"/>
      <c r="CA83" s="278"/>
      <c r="CB83" s="278"/>
      <c r="CC83" s="278"/>
      <c r="CD83" s="278"/>
      <c r="CE83" s="278"/>
      <c r="CF83" s="278"/>
      <c r="CG83" s="278"/>
      <c r="CH83" s="278"/>
      <c r="CI83" s="278"/>
      <c r="CJ83" s="278"/>
      <c r="CK83" s="278"/>
      <c r="CL83" s="278"/>
      <c r="CM83" s="278"/>
      <c r="CN83" s="278"/>
      <c r="CO83" s="278"/>
      <c r="CP83" s="278"/>
      <c r="CQ83" s="278"/>
      <c r="CR83" s="278"/>
      <c r="CS83" s="278"/>
      <c r="CT83" s="278"/>
      <c r="CU83" s="278"/>
      <c r="CV83" s="278"/>
      <c r="CW83" s="278"/>
      <c r="CX83" s="278"/>
      <c r="CY83" s="278"/>
      <c r="CZ83" s="278"/>
      <c r="DA83" s="278"/>
      <c r="DB83" s="278"/>
      <c r="DC83" s="278"/>
      <c r="DD83" s="278"/>
      <c r="DE83" s="278"/>
      <c r="DF83" s="278"/>
      <c r="DG83" s="278"/>
      <c r="DH83" s="278"/>
      <c r="DI83" s="278"/>
      <c r="DJ83" s="278"/>
      <c r="DK83" s="278"/>
    </row>
    <row r="84" spans="1:115" s="140" customFormat="1" ht="13.5" thickBot="1">
      <c r="A84" s="24" t="s">
        <v>16</v>
      </c>
      <c r="B84" s="117" t="s">
        <v>66</v>
      </c>
      <c r="C84" s="73">
        <v>100000</v>
      </c>
      <c r="D84" s="73"/>
      <c r="E84" s="73"/>
      <c r="F84" s="118"/>
      <c r="G84" s="73"/>
      <c r="H84" s="72"/>
      <c r="I84" s="73"/>
      <c r="J84" s="73"/>
      <c r="K84" s="72"/>
      <c r="L84" s="281"/>
      <c r="M84" s="293">
        <f t="shared" si="14"/>
        <v>100000</v>
      </c>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c r="BX84" s="278"/>
      <c r="BY84" s="278"/>
      <c r="BZ84" s="278"/>
      <c r="CA84" s="278"/>
      <c r="CB84" s="278"/>
      <c r="CC84" s="278"/>
      <c r="CD84" s="278"/>
      <c r="CE84" s="278"/>
      <c r="CF84" s="278"/>
      <c r="CG84" s="278"/>
      <c r="CH84" s="278"/>
      <c r="CI84" s="278"/>
      <c r="CJ84" s="278"/>
      <c r="CK84" s="278"/>
      <c r="CL84" s="278"/>
      <c r="CM84" s="278"/>
      <c r="CN84" s="278"/>
      <c r="CO84" s="278"/>
      <c r="CP84" s="278"/>
      <c r="CQ84" s="278"/>
      <c r="CR84" s="278"/>
      <c r="CS84" s="278"/>
      <c r="CT84" s="278"/>
      <c r="CU84" s="278"/>
      <c r="CV84" s="278"/>
      <c r="CW84" s="278"/>
      <c r="CX84" s="278"/>
      <c r="CY84" s="278"/>
      <c r="CZ84" s="278"/>
      <c r="DA84" s="278"/>
      <c r="DB84" s="278"/>
      <c r="DC84" s="278"/>
      <c r="DD84" s="278"/>
      <c r="DE84" s="278"/>
      <c r="DF84" s="278"/>
      <c r="DG84" s="278"/>
      <c r="DH84" s="278"/>
      <c r="DI84" s="278"/>
      <c r="DJ84" s="278"/>
      <c r="DK84" s="278"/>
    </row>
    <row r="85" spans="1:115" ht="13.5" thickBot="1">
      <c r="A85" s="38" t="s">
        <v>96</v>
      </c>
      <c r="B85" s="168" t="s">
        <v>182</v>
      </c>
      <c r="C85" s="76"/>
      <c r="D85" s="76"/>
      <c r="E85" s="76"/>
      <c r="F85" s="134">
        <v>2900000</v>
      </c>
      <c r="G85" s="134">
        <v>1400000</v>
      </c>
      <c r="H85" s="77"/>
      <c r="I85" s="76"/>
      <c r="J85" s="134">
        <v>1500000</v>
      </c>
      <c r="K85" s="134">
        <v>2900000</v>
      </c>
      <c r="L85" s="282"/>
      <c r="M85" s="293">
        <f t="shared" si="14"/>
        <v>2900000</v>
      </c>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8"/>
      <c r="BR85" s="278"/>
      <c r="BS85" s="278"/>
      <c r="BT85" s="278"/>
      <c r="BU85" s="278"/>
      <c r="BV85" s="278"/>
      <c r="BW85" s="278"/>
      <c r="BX85" s="278"/>
      <c r="BY85" s="278"/>
      <c r="BZ85" s="278"/>
      <c r="CA85" s="278"/>
      <c r="CB85" s="278"/>
      <c r="CC85" s="278"/>
      <c r="CD85" s="278"/>
      <c r="CE85" s="278"/>
      <c r="CF85" s="278"/>
      <c r="CG85" s="278"/>
      <c r="CH85" s="278"/>
      <c r="CI85" s="278"/>
      <c r="CJ85" s="278"/>
      <c r="CK85" s="278"/>
      <c r="CL85" s="278"/>
      <c r="CM85" s="278"/>
      <c r="CN85" s="278"/>
      <c r="CO85" s="278"/>
      <c r="CP85" s="278"/>
      <c r="CQ85" s="278"/>
      <c r="CR85" s="278"/>
      <c r="CS85" s="278"/>
      <c r="CT85" s="278"/>
      <c r="CU85" s="278"/>
      <c r="CV85" s="278"/>
      <c r="CW85" s="278"/>
      <c r="CX85" s="278"/>
      <c r="CY85" s="278"/>
      <c r="CZ85" s="278"/>
      <c r="DA85" s="278"/>
      <c r="DB85" s="278"/>
      <c r="DC85" s="278"/>
      <c r="DD85" s="278"/>
      <c r="DE85" s="278"/>
      <c r="DF85" s="278"/>
      <c r="DG85" s="278"/>
      <c r="DH85" s="278"/>
      <c r="DI85" s="278"/>
      <c r="DJ85" s="278"/>
      <c r="DK85" s="278"/>
    </row>
    <row r="86" spans="1:13" ht="13.5" thickBot="1">
      <c r="A86" s="249" t="s">
        <v>40</v>
      </c>
      <c r="B86" s="33" t="s">
        <v>49</v>
      </c>
      <c r="C86" s="127">
        <f>SUM(C87)</f>
        <v>0</v>
      </c>
      <c r="D86" s="250">
        <f>SUM(D87)</f>
        <v>0</v>
      </c>
      <c r="E86" s="127">
        <f>SUM(E87)</f>
        <v>0</v>
      </c>
      <c r="F86" s="251">
        <f>SUM(F87:F89)</f>
        <v>2120500</v>
      </c>
      <c r="G86" s="251">
        <f>SUM(G87:G89)</f>
        <v>1782500</v>
      </c>
      <c r="H86" s="127">
        <f aca="true" t="shared" si="16" ref="H86:M86">SUM(H87:H89)</f>
        <v>0</v>
      </c>
      <c r="I86" s="127">
        <f t="shared" si="16"/>
        <v>0</v>
      </c>
      <c r="J86" s="127">
        <f t="shared" si="16"/>
        <v>338000</v>
      </c>
      <c r="K86" s="250"/>
      <c r="L86" s="283">
        <f t="shared" si="16"/>
        <v>0</v>
      </c>
      <c r="M86" s="294">
        <f t="shared" si="16"/>
        <v>2120500</v>
      </c>
    </row>
    <row r="87" spans="1:13" ht="12.75">
      <c r="A87" s="116" t="s">
        <v>21</v>
      </c>
      <c r="B87" s="18" t="s">
        <v>156</v>
      </c>
      <c r="C87" s="57"/>
      <c r="D87" s="104"/>
      <c r="E87" s="57"/>
      <c r="F87" s="56">
        <f>SUM(J87,G87)</f>
        <v>520500</v>
      </c>
      <c r="G87" s="57">
        <v>182500</v>
      </c>
      <c r="H87" s="56"/>
      <c r="I87" s="57"/>
      <c r="J87" s="57">
        <v>338000</v>
      </c>
      <c r="K87" s="56"/>
      <c r="L87" s="279"/>
      <c r="M87" s="290">
        <f>SUM(C87,F87)</f>
        <v>520500</v>
      </c>
    </row>
    <row r="88" spans="1:13" ht="12.75">
      <c r="A88" s="25"/>
      <c r="B88" s="159" t="s">
        <v>155</v>
      </c>
      <c r="C88" s="61"/>
      <c r="D88" s="137"/>
      <c r="E88" s="61"/>
      <c r="F88" s="60"/>
      <c r="G88" s="61"/>
      <c r="H88" s="60"/>
      <c r="I88" s="61"/>
      <c r="J88" s="61"/>
      <c r="K88" s="60"/>
      <c r="L88" s="71"/>
      <c r="M88" s="289"/>
    </row>
    <row r="89" spans="1:13" ht="13.5" thickBot="1">
      <c r="A89" s="163" t="s">
        <v>90</v>
      </c>
      <c r="B89" s="164" t="s">
        <v>49</v>
      </c>
      <c r="C89" s="166"/>
      <c r="D89" s="165"/>
      <c r="E89" s="166"/>
      <c r="F89" s="104">
        <v>1600000</v>
      </c>
      <c r="G89" s="165">
        <v>1600000</v>
      </c>
      <c r="H89" s="166"/>
      <c r="I89" s="167"/>
      <c r="J89" s="166"/>
      <c r="K89" s="167"/>
      <c r="L89" s="165"/>
      <c r="M89" s="292">
        <f>SUM(C89,F89)</f>
        <v>1600000</v>
      </c>
    </row>
    <row r="90" spans="1:13" ht="13.5" thickBot="1">
      <c r="A90" s="31" t="s">
        <v>56</v>
      </c>
      <c r="B90" s="121" t="s">
        <v>58</v>
      </c>
      <c r="C90" s="74">
        <f aca="true" t="shared" si="17" ref="C90:J90">SUM(C91:C92)</f>
        <v>257400</v>
      </c>
      <c r="D90" s="135">
        <f t="shared" si="17"/>
        <v>0</v>
      </c>
      <c r="E90" s="74">
        <f t="shared" si="17"/>
        <v>0</v>
      </c>
      <c r="F90" s="52">
        <f t="shared" si="17"/>
        <v>0</v>
      </c>
      <c r="G90" s="135">
        <f t="shared" si="17"/>
        <v>0</v>
      </c>
      <c r="H90" s="74">
        <f t="shared" si="17"/>
        <v>0</v>
      </c>
      <c r="I90" s="74">
        <f t="shared" si="17"/>
        <v>0</v>
      </c>
      <c r="J90" s="74">
        <f t="shared" si="17"/>
        <v>0</v>
      </c>
      <c r="K90" s="135"/>
      <c r="L90" s="80">
        <f>SUM(L91:L92)</f>
        <v>0</v>
      </c>
      <c r="M90" s="294">
        <f>SUM(C90,F90)</f>
        <v>257400</v>
      </c>
    </row>
    <row r="91" spans="1:13" ht="12.75">
      <c r="A91" s="24" t="s">
        <v>17</v>
      </c>
      <c r="B91" s="48" t="s">
        <v>18</v>
      </c>
      <c r="C91" s="69">
        <v>100000</v>
      </c>
      <c r="D91" s="171"/>
      <c r="E91" s="87"/>
      <c r="F91" s="88"/>
      <c r="G91" s="87"/>
      <c r="H91" s="88"/>
      <c r="I91" s="87"/>
      <c r="J91" s="87"/>
      <c r="K91" s="88"/>
      <c r="L91" s="89"/>
      <c r="M91" s="293">
        <f>SUM(C91,F91)</f>
        <v>100000</v>
      </c>
    </row>
    <row r="92" spans="1:13" ht="12.75">
      <c r="A92" s="25" t="s">
        <v>82</v>
      </c>
      <c r="B92" s="106" t="s">
        <v>70</v>
      </c>
      <c r="C92" s="69">
        <f>147400+10000</f>
        <v>157400</v>
      </c>
      <c r="D92" s="107"/>
      <c r="E92" s="107"/>
      <c r="F92" s="108"/>
      <c r="G92" s="107"/>
      <c r="H92" s="108"/>
      <c r="I92" s="107"/>
      <c r="J92" s="107"/>
      <c r="K92" s="108"/>
      <c r="L92" s="284"/>
      <c r="M92" s="291">
        <f>SUM(C92,F92)</f>
        <v>157400</v>
      </c>
    </row>
    <row r="93" spans="1:13" ht="13.5" thickBot="1">
      <c r="A93" s="99"/>
      <c r="B93" s="23"/>
      <c r="C93" s="90"/>
      <c r="D93" s="90"/>
      <c r="E93" s="170"/>
      <c r="F93" s="91"/>
      <c r="G93" s="90"/>
      <c r="H93" s="91"/>
      <c r="I93" s="90"/>
      <c r="J93" s="90"/>
      <c r="K93" s="91"/>
      <c r="L93" s="92"/>
      <c r="M93" s="292"/>
    </row>
    <row r="94" spans="1:13" ht="13.5" thickBot="1">
      <c r="A94" s="41"/>
      <c r="B94" s="28" t="s">
        <v>41</v>
      </c>
      <c r="C94" s="93">
        <f aca="true" t="shared" si="18" ref="C94:M94">SUM(C18,C20,C35,C46,C59,C62,C67,C70,C75,C79,C83,C86,C90)</f>
        <v>400197227</v>
      </c>
      <c r="D94" s="93">
        <f t="shared" si="18"/>
        <v>222648412</v>
      </c>
      <c r="E94" s="93">
        <f t="shared" si="18"/>
        <v>62941301</v>
      </c>
      <c r="F94" s="93">
        <f t="shared" si="18"/>
        <v>56804227</v>
      </c>
      <c r="G94" s="93">
        <f t="shared" si="18"/>
        <v>18363527</v>
      </c>
      <c r="H94" s="93">
        <f t="shared" si="18"/>
        <v>1456607</v>
      </c>
      <c r="I94" s="93">
        <f t="shared" si="18"/>
        <v>2736054</v>
      </c>
      <c r="J94" s="93">
        <f t="shared" si="18"/>
        <v>38440700</v>
      </c>
      <c r="K94" s="93">
        <f t="shared" si="18"/>
        <v>41140000</v>
      </c>
      <c r="L94" s="93">
        <f t="shared" si="18"/>
        <v>0</v>
      </c>
      <c r="M94" s="93">
        <f t="shared" si="18"/>
        <v>457001454</v>
      </c>
    </row>
    <row r="95" spans="1:13" ht="13.5" thickBot="1">
      <c r="A95" s="40"/>
      <c r="B95" s="39"/>
      <c r="C95" s="196"/>
      <c r="D95" s="196"/>
      <c r="E95" s="196"/>
      <c r="F95" s="196"/>
      <c r="G95" s="196"/>
      <c r="H95" s="196"/>
      <c r="I95" s="196"/>
      <c r="J95" s="196"/>
      <c r="K95" s="196"/>
      <c r="L95" s="196"/>
      <c r="M95" s="295"/>
    </row>
    <row r="96" spans="1:13" ht="13.5" thickBot="1">
      <c r="A96" s="179"/>
      <c r="B96" s="28" t="s">
        <v>173</v>
      </c>
      <c r="C96" s="197">
        <f aca="true" t="shared" si="19" ref="C96:J96">SUM(C97:C128)</f>
        <v>206203000</v>
      </c>
      <c r="D96" s="197">
        <f t="shared" si="19"/>
        <v>2279137</v>
      </c>
      <c r="E96" s="197">
        <f t="shared" si="19"/>
        <v>330170</v>
      </c>
      <c r="F96" s="197">
        <f t="shared" si="19"/>
        <v>13610500</v>
      </c>
      <c r="G96" s="197">
        <f t="shared" si="19"/>
        <v>5610500</v>
      </c>
      <c r="H96" s="197">
        <f t="shared" si="19"/>
        <v>0</v>
      </c>
      <c r="I96" s="197">
        <f t="shared" si="19"/>
        <v>0</v>
      </c>
      <c r="J96" s="197">
        <f t="shared" si="19"/>
        <v>8000000</v>
      </c>
      <c r="K96" s="197">
        <f>SUM(K98:K128)</f>
        <v>8000000</v>
      </c>
      <c r="L96" s="285">
        <f>SUM(L98:L128)</f>
        <v>8000000</v>
      </c>
      <c r="M96" s="180">
        <f>SUM(C96,F96)</f>
        <v>219813500</v>
      </c>
    </row>
    <row r="97" spans="1:13" ht="12.75">
      <c r="A97" s="193" t="s">
        <v>105</v>
      </c>
      <c r="B97" s="194" t="s">
        <v>189</v>
      </c>
      <c r="C97" s="195">
        <v>714400</v>
      </c>
      <c r="D97" s="195"/>
      <c r="E97" s="195"/>
      <c r="F97" s="195"/>
      <c r="G97" s="195"/>
      <c r="H97" s="195"/>
      <c r="I97" s="195"/>
      <c r="J97" s="195"/>
      <c r="K97" s="195"/>
      <c r="L97" s="195"/>
      <c r="M97" s="158">
        <f aca="true" t="shared" si="20" ref="M97:M128">SUM(C97,F97)</f>
        <v>714400</v>
      </c>
    </row>
    <row r="98" spans="1:13" ht="145.5" customHeight="1">
      <c r="A98" s="183" t="s">
        <v>50</v>
      </c>
      <c r="B98" s="182" t="s">
        <v>193</v>
      </c>
      <c r="C98" s="184">
        <v>18750000</v>
      </c>
      <c r="D98" s="184"/>
      <c r="E98" s="184"/>
      <c r="F98" s="158">
        <f aca="true" t="shared" si="21" ref="F98:F110">G98+J98</f>
        <v>0</v>
      </c>
      <c r="G98" s="184"/>
      <c r="H98" s="184"/>
      <c r="I98" s="184"/>
      <c r="J98" s="184"/>
      <c r="K98" s="184"/>
      <c r="L98" s="184"/>
      <c r="M98" s="158">
        <f t="shared" si="20"/>
        <v>18750000</v>
      </c>
    </row>
    <row r="99" spans="1:13" ht="131.25" customHeight="1">
      <c r="A99" s="183" t="s">
        <v>51</v>
      </c>
      <c r="B99" s="182" t="s">
        <v>194</v>
      </c>
      <c r="C99" s="185">
        <v>1608</v>
      </c>
      <c r="D99" s="185"/>
      <c r="E99" s="185"/>
      <c r="F99" s="186">
        <f t="shared" si="21"/>
        <v>0</v>
      </c>
      <c r="G99" s="185"/>
      <c r="H99" s="185"/>
      <c r="I99" s="185"/>
      <c r="J99" s="185"/>
      <c r="K99" s="185"/>
      <c r="L99" s="185"/>
      <c r="M99" s="186">
        <f t="shared" si="20"/>
        <v>1608</v>
      </c>
    </row>
    <row r="100" spans="1:13" ht="144" customHeight="1">
      <c r="A100" s="187" t="s">
        <v>84</v>
      </c>
      <c r="B100" s="188" t="s">
        <v>195</v>
      </c>
      <c r="C100" s="185">
        <v>135998</v>
      </c>
      <c r="D100" s="185"/>
      <c r="E100" s="185"/>
      <c r="F100" s="186"/>
      <c r="G100" s="185"/>
      <c r="H100" s="185"/>
      <c r="I100" s="185"/>
      <c r="J100" s="185"/>
      <c r="K100" s="185"/>
      <c r="L100" s="185"/>
      <c r="M100" s="186">
        <f t="shared" si="20"/>
        <v>135998</v>
      </c>
    </row>
    <row r="101" spans="1:13" ht="228.75" customHeight="1">
      <c r="A101" s="212" t="s">
        <v>52</v>
      </c>
      <c r="B101" s="222" t="s">
        <v>196</v>
      </c>
      <c r="C101" s="213">
        <v>4000000</v>
      </c>
      <c r="D101" s="213"/>
      <c r="E101" s="213"/>
      <c r="F101" s="189">
        <f t="shared" si="21"/>
        <v>0</v>
      </c>
      <c r="G101" s="213"/>
      <c r="H101" s="213"/>
      <c r="I101" s="213"/>
      <c r="J101" s="213"/>
      <c r="K101" s="213"/>
      <c r="L101" s="213"/>
      <c r="M101" s="214">
        <f t="shared" si="20"/>
        <v>4000000</v>
      </c>
    </row>
    <row r="102" spans="1:13" ht="132" customHeight="1">
      <c r="A102" s="183"/>
      <c r="B102" s="223" t="s">
        <v>205</v>
      </c>
      <c r="C102" s="184"/>
      <c r="D102" s="184"/>
      <c r="E102" s="184"/>
      <c r="F102" s="158"/>
      <c r="G102" s="184"/>
      <c r="H102" s="184"/>
      <c r="I102" s="184"/>
      <c r="J102" s="184"/>
      <c r="K102" s="184"/>
      <c r="L102" s="184"/>
      <c r="M102" s="215"/>
    </row>
    <row r="103" spans="1:13" ht="48">
      <c r="A103" s="187" t="s">
        <v>53</v>
      </c>
      <c r="B103" s="188" t="s">
        <v>174</v>
      </c>
      <c r="C103" s="185">
        <v>9300000</v>
      </c>
      <c r="D103" s="185"/>
      <c r="E103" s="185"/>
      <c r="F103" s="186">
        <f t="shared" si="21"/>
        <v>0</v>
      </c>
      <c r="G103" s="185"/>
      <c r="H103" s="185"/>
      <c r="I103" s="185"/>
      <c r="J103" s="185"/>
      <c r="K103" s="185"/>
      <c r="L103" s="185"/>
      <c r="M103" s="186">
        <f t="shared" si="20"/>
        <v>9300000</v>
      </c>
    </row>
    <row r="104" spans="1:13" ht="48">
      <c r="A104" s="187" t="s">
        <v>54</v>
      </c>
      <c r="B104" s="188" t="s">
        <v>175</v>
      </c>
      <c r="C104" s="185">
        <v>11875</v>
      </c>
      <c r="D104" s="185"/>
      <c r="E104" s="185"/>
      <c r="F104" s="186">
        <f t="shared" si="21"/>
        <v>0</v>
      </c>
      <c r="G104" s="185"/>
      <c r="H104" s="185"/>
      <c r="I104" s="185"/>
      <c r="J104" s="185"/>
      <c r="K104" s="185"/>
      <c r="L104" s="185"/>
      <c r="M104" s="186">
        <f t="shared" si="20"/>
        <v>11875</v>
      </c>
    </row>
    <row r="105" spans="1:13" s="270" customFormat="1" ht="48">
      <c r="A105" s="266" t="s">
        <v>55</v>
      </c>
      <c r="B105" s="267" t="s">
        <v>176</v>
      </c>
      <c r="C105" s="268">
        <v>273900</v>
      </c>
      <c r="D105" s="268"/>
      <c r="E105" s="268"/>
      <c r="F105" s="269">
        <f t="shared" si="21"/>
        <v>0</v>
      </c>
      <c r="G105" s="268"/>
      <c r="H105" s="268"/>
      <c r="I105" s="268"/>
      <c r="J105" s="268"/>
      <c r="K105" s="268"/>
      <c r="L105" s="268"/>
      <c r="M105" s="269">
        <f t="shared" si="20"/>
        <v>273900</v>
      </c>
    </row>
    <row r="106" spans="1:13" s="270" customFormat="1" ht="120" customHeight="1">
      <c r="A106" s="266" t="s">
        <v>69</v>
      </c>
      <c r="B106" s="267" t="s">
        <v>197</v>
      </c>
      <c r="C106" s="268">
        <v>4000</v>
      </c>
      <c r="D106" s="268"/>
      <c r="E106" s="268"/>
      <c r="F106" s="269">
        <f t="shared" si="21"/>
        <v>0</v>
      </c>
      <c r="G106" s="268"/>
      <c r="H106" s="268"/>
      <c r="I106" s="268"/>
      <c r="J106" s="268"/>
      <c r="K106" s="268"/>
      <c r="L106" s="268"/>
      <c r="M106" s="269">
        <f t="shared" si="20"/>
        <v>4000</v>
      </c>
    </row>
    <row r="107" spans="1:13" s="270" customFormat="1" ht="27" customHeight="1">
      <c r="A107" s="266" t="s">
        <v>216</v>
      </c>
      <c r="B107" s="276" t="s">
        <v>219</v>
      </c>
      <c r="C107" s="268">
        <v>2866000</v>
      </c>
      <c r="D107" s="268"/>
      <c r="E107" s="268"/>
      <c r="F107" s="269"/>
      <c r="G107" s="268"/>
      <c r="H107" s="268"/>
      <c r="I107" s="268"/>
      <c r="J107" s="268"/>
      <c r="K107" s="268"/>
      <c r="L107" s="268"/>
      <c r="M107" s="269">
        <f t="shared" si="20"/>
        <v>2866000</v>
      </c>
    </row>
    <row r="108" spans="1:13" s="270" customFormat="1" ht="12.75">
      <c r="A108" s="271" t="s">
        <v>85</v>
      </c>
      <c r="B108" s="275" t="s">
        <v>177</v>
      </c>
      <c r="C108" s="272">
        <v>1861390</v>
      </c>
      <c r="D108" s="272"/>
      <c r="E108" s="272"/>
      <c r="F108" s="273">
        <f t="shared" si="21"/>
        <v>0</v>
      </c>
      <c r="G108" s="272"/>
      <c r="H108" s="272"/>
      <c r="I108" s="272"/>
      <c r="J108" s="272"/>
      <c r="K108" s="272"/>
      <c r="L108" s="272"/>
      <c r="M108" s="273">
        <f t="shared" si="20"/>
        <v>1861390</v>
      </c>
    </row>
    <row r="109" spans="1:13" s="270" customFormat="1" ht="12.75">
      <c r="A109" s="271" t="s">
        <v>97</v>
      </c>
      <c r="B109" s="252" t="s">
        <v>98</v>
      </c>
      <c r="C109" s="272">
        <v>850000</v>
      </c>
      <c r="D109" s="272"/>
      <c r="E109" s="272"/>
      <c r="F109" s="273">
        <f t="shared" si="21"/>
        <v>0</v>
      </c>
      <c r="G109" s="272"/>
      <c r="H109" s="272"/>
      <c r="I109" s="272"/>
      <c r="J109" s="272"/>
      <c r="K109" s="272"/>
      <c r="L109" s="272"/>
      <c r="M109" s="273">
        <f t="shared" si="20"/>
        <v>850000</v>
      </c>
    </row>
    <row r="110" spans="1:13" s="270" customFormat="1" ht="12.75">
      <c r="A110" s="271" t="s">
        <v>9</v>
      </c>
      <c r="B110" s="252" t="s">
        <v>199</v>
      </c>
      <c r="C110" s="272">
        <v>2982452</v>
      </c>
      <c r="D110" s="272"/>
      <c r="E110" s="272"/>
      <c r="F110" s="273">
        <f t="shared" si="21"/>
        <v>0</v>
      </c>
      <c r="G110" s="272"/>
      <c r="H110" s="272"/>
      <c r="I110" s="272"/>
      <c r="J110" s="272"/>
      <c r="K110" s="272"/>
      <c r="L110" s="272"/>
      <c r="M110" s="273">
        <f t="shared" si="20"/>
        <v>2982452</v>
      </c>
    </row>
    <row r="111" spans="1:13" s="270" customFormat="1" ht="12.75">
      <c r="A111" s="271" t="s">
        <v>10</v>
      </c>
      <c r="B111" s="252" t="s">
        <v>200</v>
      </c>
      <c r="C111" s="272">
        <v>17692145</v>
      </c>
      <c r="D111" s="272"/>
      <c r="E111" s="272"/>
      <c r="F111" s="273"/>
      <c r="G111" s="272"/>
      <c r="H111" s="272"/>
      <c r="I111" s="272"/>
      <c r="J111" s="272"/>
      <c r="K111" s="272"/>
      <c r="L111" s="272"/>
      <c r="M111" s="273">
        <f t="shared" si="20"/>
        <v>17692145</v>
      </c>
    </row>
    <row r="112" spans="1:13" s="270" customFormat="1" ht="12.75">
      <c r="A112" s="271" t="s">
        <v>11</v>
      </c>
      <c r="B112" s="252" t="s">
        <v>201</v>
      </c>
      <c r="C112" s="272">
        <v>70169600</v>
      </c>
      <c r="D112" s="272"/>
      <c r="E112" s="272"/>
      <c r="F112" s="273"/>
      <c r="G112" s="272"/>
      <c r="H112" s="272"/>
      <c r="I112" s="272"/>
      <c r="J112" s="272"/>
      <c r="K112" s="272"/>
      <c r="L112" s="272"/>
      <c r="M112" s="273">
        <f t="shared" si="20"/>
        <v>70169600</v>
      </c>
    </row>
    <row r="113" spans="1:13" s="270" customFormat="1" ht="12.75">
      <c r="A113" s="271" t="s">
        <v>12</v>
      </c>
      <c r="B113" s="252" t="s">
        <v>202</v>
      </c>
      <c r="C113" s="272">
        <v>6100144</v>
      </c>
      <c r="D113" s="272"/>
      <c r="E113" s="272"/>
      <c r="F113" s="273"/>
      <c r="G113" s="272"/>
      <c r="H113" s="272"/>
      <c r="I113" s="272"/>
      <c r="J113" s="272"/>
      <c r="K113" s="272"/>
      <c r="L113" s="272"/>
      <c r="M113" s="273">
        <f t="shared" si="20"/>
        <v>6100144</v>
      </c>
    </row>
    <row r="114" spans="1:13" s="270" customFormat="1" ht="12.75">
      <c r="A114" s="271" t="s">
        <v>46</v>
      </c>
      <c r="B114" s="252" t="s">
        <v>57</v>
      </c>
      <c r="C114" s="272">
        <v>11607310</v>
      </c>
      <c r="D114" s="272"/>
      <c r="E114" s="272"/>
      <c r="F114" s="273"/>
      <c r="G114" s="272"/>
      <c r="H114" s="272"/>
      <c r="I114" s="272"/>
      <c r="J114" s="272"/>
      <c r="K114" s="272"/>
      <c r="L114" s="272"/>
      <c r="M114" s="273">
        <f t="shared" si="20"/>
        <v>11607310</v>
      </c>
    </row>
    <row r="115" spans="1:13" s="270" customFormat="1" ht="12.75">
      <c r="A115" s="271" t="s">
        <v>79</v>
      </c>
      <c r="B115" s="252" t="s">
        <v>80</v>
      </c>
      <c r="C115" s="272">
        <v>2493768</v>
      </c>
      <c r="D115" s="272"/>
      <c r="E115" s="272"/>
      <c r="F115" s="273"/>
      <c r="G115" s="272"/>
      <c r="H115" s="272"/>
      <c r="I115" s="272"/>
      <c r="J115" s="272"/>
      <c r="K115" s="272"/>
      <c r="L115" s="272"/>
      <c r="M115" s="273">
        <f t="shared" si="20"/>
        <v>2493768</v>
      </c>
    </row>
    <row r="116" spans="1:13" s="270" customFormat="1" ht="12.75">
      <c r="A116" s="271" t="s">
        <v>93</v>
      </c>
      <c r="B116" s="252" t="s">
        <v>94</v>
      </c>
      <c r="C116" s="272">
        <v>118235</v>
      </c>
      <c r="D116" s="272"/>
      <c r="E116" s="272"/>
      <c r="F116" s="273"/>
      <c r="G116" s="272"/>
      <c r="H116" s="272"/>
      <c r="I116" s="272"/>
      <c r="J116" s="272"/>
      <c r="K116" s="272"/>
      <c r="L116" s="272"/>
      <c r="M116" s="273">
        <f t="shared" si="20"/>
        <v>118235</v>
      </c>
    </row>
    <row r="117" spans="1:13" s="270" customFormat="1" ht="12.75">
      <c r="A117" s="271" t="s">
        <v>47</v>
      </c>
      <c r="B117" s="252" t="s">
        <v>178</v>
      </c>
      <c r="C117" s="272">
        <v>2211177</v>
      </c>
      <c r="D117" s="272"/>
      <c r="E117" s="272"/>
      <c r="F117" s="273"/>
      <c r="G117" s="272"/>
      <c r="H117" s="272"/>
      <c r="I117" s="272"/>
      <c r="J117" s="272"/>
      <c r="K117" s="272"/>
      <c r="L117" s="272"/>
      <c r="M117" s="273">
        <f t="shared" si="20"/>
        <v>2211177</v>
      </c>
    </row>
    <row r="118" spans="1:13" s="270" customFormat="1" ht="24">
      <c r="A118" s="266" t="s">
        <v>13</v>
      </c>
      <c r="B118" s="267" t="s">
        <v>179</v>
      </c>
      <c r="C118" s="268">
        <v>16500000</v>
      </c>
      <c r="D118" s="268"/>
      <c r="E118" s="268"/>
      <c r="F118" s="269"/>
      <c r="G118" s="268"/>
      <c r="H118" s="268"/>
      <c r="I118" s="268"/>
      <c r="J118" s="268"/>
      <c r="K118" s="268"/>
      <c r="L118" s="268"/>
      <c r="M118" s="269">
        <f t="shared" si="20"/>
        <v>16500000</v>
      </c>
    </row>
    <row r="119" spans="1:13" s="270" customFormat="1" ht="24">
      <c r="A119" s="266" t="s">
        <v>158</v>
      </c>
      <c r="B119" s="267" t="s">
        <v>159</v>
      </c>
      <c r="C119" s="268"/>
      <c r="D119" s="268"/>
      <c r="E119" s="268"/>
      <c r="F119" s="269"/>
      <c r="G119" s="268"/>
      <c r="H119" s="268"/>
      <c r="I119" s="268"/>
      <c r="J119" s="268"/>
      <c r="K119" s="268"/>
      <c r="L119" s="268"/>
      <c r="M119" s="269">
        <f t="shared" si="20"/>
        <v>0</v>
      </c>
    </row>
    <row r="120" spans="1:13" ht="48">
      <c r="A120" s="187" t="s">
        <v>95</v>
      </c>
      <c r="B120" s="188" t="s">
        <v>180</v>
      </c>
      <c r="C120" s="185">
        <v>6517</v>
      </c>
      <c r="D120" s="185"/>
      <c r="E120" s="185"/>
      <c r="F120" s="186"/>
      <c r="G120" s="185"/>
      <c r="H120" s="185"/>
      <c r="I120" s="185"/>
      <c r="J120" s="185"/>
      <c r="K120" s="185"/>
      <c r="L120" s="185"/>
      <c r="M120" s="186">
        <f t="shared" si="20"/>
        <v>6517</v>
      </c>
    </row>
    <row r="121" spans="1:13" ht="12.75">
      <c r="A121" s="36" t="s">
        <v>28</v>
      </c>
      <c r="B121" s="224" t="s">
        <v>81</v>
      </c>
      <c r="C121" s="67">
        <v>23792869</v>
      </c>
      <c r="D121" s="225"/>
      <c r="E121" s="225"/>
      <c r="F121" s="198"/>
      <c r="G121" s="198"/>
      <c r="H121" s="198"/>
      <c r="I121" s="198"/>
      <c r="J121" s="198"/>
      <c r="K121" s="198"/>
      <c r="L121" s="198"/>
      <c r="M121" s="186">
        <f t="shared" si="20"/>
        <v>23792869</v>
      </c>
    </row>
    <row r="122" spans="1:13" s="243" customFormat="1" ht="24">
      <c r="A122" s="244" t="s">
        <v>186</v>
      </c>
      <c r="B122" s="245" t="s">
        <v>187</v>
      </c>
      <c r="C122" s="246">
        <v>2411600</v>
      </c>
      <c r="D122" s="247">
        <v>1269333</v>
      </c>
      <c r="E122" s="246">
        <v>286865</v>
      </c>
      <c r="F122" s="246"/>
      <c r="G122" s="247"/>
      <c r="H122" s="246"/>
      <c r="I122" s="247"/>
      <c r="J122" s="246"/>
      <c r="K122" s="248"/>
      <c r="L122" s="248"/>
      <c r="M122" s="242">
        <f t="shared" si="20"/>
        <v>2411600</v>
      </c>
    </row>
    <row r="123" spans="1:13" ht="12.75">
      <c r="A123" s="25" t="s">
        <v>71</v>
      </c>
      <c r="B123" s="17" t="s">
        <v>203</v>
      </c>
      <c r="C123" s="69">
        <v>1436300</v>
      </c>
      <c r="D123" s="60">
        <v>1009804</v>
      </c>
      <c r="E123" s="61">
        <v>43305</v>
      </c>
      <c r="F123" s="69"/>
      <c r="G123" s="60"/>
      <c r="H123" s="61"/>
      <c r="I123" s="60"/>
      <c r="J123" s="61"/>
      <c r="K123" s="61"/>
      <c r="L123" s="61"/>
      <c r="M123" s="62">
        <f t="shared" si="20"/>
        <v>1436300</v>
      </c>
    </row>
    <row r="124" spans="1:13" s="243" customFormat="1" ht="12.75">
      <c r="A124" s="237" t="s">
        <v>206</v>
      </c>
      <c r="B124" s="238" t="s">
        <v>207</v>
      </c>
      <c r="C124" s="239"/>
      <c r="D124" s="239"/>
      <c r="E124" s="239"/>
      <c r="F124" s="240">
        <v>8000000</v>
      </c>
      <c r="G124" s="241"/>
      <c r="H124" s="240"/>
      <c r="I124" s="241"/>
      <c r="J124" s="240">
        <v>8000000</v>
      </c>
      <c r="K124" s="239">
        <v>8000000</v>
      </c>
      <c r="L124" s="274">
        <v>8000000</v>
      </c>
      <c r="M124" s="242">
        <f t="shared" si="20"/>
        <v>8000000</v>
      </c>
    </row>
    <row r="125" spans="1:13" ht="24">
      <c r="A125" s="253" t="s">
        <v>211</v>
      </c>
      <c r="B125" s="254" t="s">
        <v>212</v>
      </c>
      <c r="C125" s="186">
        <f>1000000-300000</f>
        <v>700000</v>
      </c>
      <c r="D125" s="255"/>
      <c r="E125" s="255"/>
      <c r="F125" s="255"/>
      <c r="G125" s="255"/>
      <c r="H125" s="255"/>
      <c r="I125" s="255"/>
      <c r="J125" s="255"/>
      <c r="K125" s="255"/>
      <c r="L125" s="256"/>
      <c r="M125" s="185">
        <f t="shared" si="20"/>
        <v>700000</v>
      </c>
    </row>
    <row r="126" spans="1:13" ht="24">
      <c r="A126" s="191" t="s">
        <v>83</v>
      </c>
      <c r="B126" s="190" t="s">
        <v>208</v>
      </c>
      <c r="C126" s="228">
        <f>1411712+800000</f>
        <v>2211712</v>
      </c>
      <c r="D126" s="226"/>
      <c r="E126" s="227"/>
      <c r="F126" s="199"/>
      <c r="G126" s="200"/>
      <c r="H126" s="199"/>
      <c r="I126" s="200"/>
      <c r="J126" s="199"/>
      <c r="K126" s="202"/>
      <c r="L126" s="203"/>
      <c r="M126" s="186">
        <f>SUM(C126,F126)</f>
        <v>2211712</v>
      </c>
    </row>
    <row r="127" spans="1:13" ht="24">
      <c r="A127" s="191" t="s">
        <v>63</v>
      </c>
      <c r="B127" s="192" t="s">
        <v>181</v>
      </c>
      <c r="C127" s="213">
        <f>7500000-500000</f>
        <v>7000000</v>
      </c>
      <c r="D127" s="226"/>
      <c r="E127" s="227"/>
      <c r="F127" s="201"/>
      <c r="G127" s="204"/>
      <c r="H127" s="201"/>
      <c r="I127" s="204"/>
      <c r="J127" s="201"/>
      <c r="K127" s="205"/>
      <c r="L127" s="201"/>
      <c r="M127" s="186">
        <f>SUM(C127,F127)</f>
        <v>7000000</v>
      </c>
    </row>
    <row r="128" spans="1:13" ht="27" customHeight="1" thickBot="1">
      <c r="A128" s="191" t="s">
        <v>64</v>
      </c>
      <c r="B128" s="257" t="s">
        <v>213</v>
      </c>
      <c r="C128" s="213"/>
      <c r="D128" s="213"/>
      <c r="E128" s="232"/>
      <c r="F128" s="185">
        <v>5610500</v>
      </c>
      <c r="G128" s="233">
        <v>5610500</v>
      </c>
      <c r="H128" s="185"/>
      <c r="I128" s="233"/>
      <c r="J128" s="185"/>
      <c r="K128" s="234"/>
      <c r="L128" s="185"/>
      <c r="M128" s="186">
        <f t="shared" si="20"/>
        <v>5610500</v>
      </c>
    </row>
    <row r="129" spans="1:13" ht="13.5" thickBot="1">
      <c r="A129" s="176"/>
      <c r="B129" s="177" t="s">
        <v>172</v>
      </c>
      <c r="C129" s="180">
        <f aca="true" t="shared" si="22" ref="C129:M129">SUM(C94,C96)</f>
        <v>606400227</v>
      </c>
      <c r="D129" s="180">
        <f t="shared" si="22"/>
        <v>224927549</v>
      </c>
      <c r="E129" s="180">
        <f t="shared" si="22"/>
        <v>63271471</v>
      </c>
      <c r="F129" s="180">
        <f t="shared" si="22"/>
        <v>70414727</v>
      </c>
      <c r="G129" s="180">
        <f t="shared" si="22"/>
        <v>23974027</v>
      </c>
      <c r="H129" s="180">
        <f t="shared" si="22"/>
        <v>1456607</v>
      </c>
      <c r="I129" s="180">
        <f t="shared" si="22"/>
        <v>2736054</v>
      </c>
      <c r="J129" s="265">
        <f t="shared" si="22"/>
        <v>46440700</v>
      </c>
      <c r="K129" s="180">
        <f t="shared" si="22"/>
        <v>49140000</v>
      </c>
      <c r="L129" s="180">
        <f t="shared" si="22"/>
        <v>8000000</v>
      </c>
      <c r="M129" s="180">
        <f t="shared" si="22"/>
        <v>676814954</v>
      </c>
    </row>
    <row r="130" ht="12.75">
      <c r="C130" s="296"/>
    </row>
    <row r="131" ht="12.75">
      <c r="C131" s="296"/>
    </row>
    <row r="132" spans="1:6" ht="15">
      <c r="A132" s="181" t="s">
        <v>92</v>
      </c>
      <c r="B132" s="181"/>
      <c r="C132" s="181"/>
      <c r="D132" s="181"/>
      <c r="E132" s="181"/>
      <c r="F132" s="181" t="s">
        <v>160</v>
      </c>
    </row>
  </sheetData>
  <sheetProtection/>
  <mergeCells count="4">
    <mergeCell ref="A10:A16"/>
    <mergeCell ref="D12:E12"/>
    <mergeCell ref="K12:L12"/>
    <mergeCell ref="L14:L16"/>
  </mergeCells>
  <printOptions/>
  <pageMargins left="0.68" right="0.16" top="0.26" bottom="0.43" header="0.23" footer="0.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2013-12-25T07:11:58Z</cp:lastPrinted>
  <dcterms:created xsi:type="dcterms:W3CDTF">2002-01-31T05:59:03Z</dcterms:created>
  <dcterms:modified xsi:type="dcterms:W3CDTF">2017-02-27T15:10:31Z</dcterms:modified>
  <cp:category/>
  <cp:version/>
  <cp:contentType/>
  <cp:contentStatus/>
</cp:coreProperties>
</file>