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0260" activeTab="0"/>
  </bookViews>
  <sheets>
    <sheet name="20.12.18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<sst xmlns="http://schemas.openxmlformats.org/spreadsheetml/2006/main" count="352" uniqueCount="225">
  <si>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</si>
  <si>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</si>
  <si>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</si>
  <si>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</si>
  <si>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</si>
  <si>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</si>
  <si>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</si>
  <si>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</si>
  <si>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</si>
  <si>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Служба у справах дітей</t>
  </si>
  <si>
    <t>Виконавчий комітет міської ради</t>
  </si>
  <si>
    <t>Управління охорони здоров"я</t>
  </si>
  <si>
    <t>Міська цільова програма сприяння соціальному становленню та розвитку молоді, підтримки сім’ї на 2016-2020 роки</t>
  </si>
  <si>
    <t>Програма організації громадських та інших робіт тимчасового характеру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</si>
  <si>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</si>
  <si>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</si>
  <si>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Програма утримання кладовищ, пам"ятників, пам"ятних знаків та меморіальних дошок в м.Біла Церква</t>
  </si>
  <si>
    <t>3112</t>
  </si>
  <si>
    <t>Утримання та навчально-тренувальна робота комунальних дитячо-юнацьких спортивних шкіл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</si>
  <si>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</si>
  <si>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</si>
  <si>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</si>
  <si>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</si>
  <si>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Сприяння розвитку малого та середнього підприємництва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</si>
  <si>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</si>
  <si>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</si>
  <si>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</si>
  <si>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</si>
  <si>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</si>
  <si>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</si>
  <si>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</si>
  <si>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</si>
  <si>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0411</t>
  </si>
  <si>
    <t>0540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</si>
  <si>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</si>
  <si>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</si>
  <si>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</si>
  <si>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Департамент ЖКГ</t>
  </si>
  <si>
    <t>Відділ культури і туризму</t>
  </si>
  <si>
    <t>Код ТПКВКМБ/ТКВКБМС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</si>
  <si>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</si>
  <si>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</si>
  <si>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Здійснення заходів та реалізація проектів на виконання Державної цільової програми "Молодь України"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</si>
  <si>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</si>
  <si>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</si>
  <si>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Програма розвитку земельних відносин у м.Біла Церква на 2017-2020 роки</t>
  </si>
  <si>
    <t>Програма реалізації громадського бюджету ( бюджету участі) м.Біла Церква на 2017-2020 роки</t>
  </si>
  <si>
    <t>Програма розвитку громадянського суспільства у м.Біла Церква на 2016-2020 роки</t>
  </si>
  <si>
    <t>0443</t>
  </si>
  <si>
    <t>0763</t>
  </si>
  <si>
    <t>Управління з питань НС та ЦЗН</t>
  </si>
  <si>
    <t>Міська програма удосконалення та розвитку системи централізованого оповіщення і зв"язку м.Біла Церква на друге півріччя 2017 року-2018  роки</t>
  </si>
  <si>
    <t xml:space="preserve">Програма розвитку  підприємництва та інвестиційної діяльності в м. Біла Церква  </t>
  </si>
  <si>
    <t>Інші  програми, заклади та заходи у сфері освіти</t>
  </si>
  <si>
    <t>Програма розвитку системи освіти міста Білої Церкви на 2016-2020 р.</t>
  </si>
  <si>
    <t>0611160</t>
  </si>
  <si>
    <t>0615031</t>
  </si>
  <si>
    <t>0611020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</si>
  <si>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</si>
  <si>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Міська програма оздоровлення та відпочинку дітей міста в 2018 році</t>
  </si>
  <si>
    <t>Програма соціального забезпечення та соціального захисту населення м.Біла Церква  "Турбота" на 2017-2022 р.</t>
  </si>
  <si>
    <t>3036</t>
  </si>
  <si>
    <t>3035</t>
  </si>
  <si>
    <t>3032</t>
  </si>
  <si>
    <t>1113131</t>
  </si>
  <si>
    <t>3131</t>
  </si>
  <si>
    <t>Комплексна програма по організації та фінансовому забезпеченню мобілізації, призову та приписки громадян у м.Біла Церква на 2018 р.</t>
  </si>
  <si>
    <t>1113140</t>
  </si>
  <si>
    <t>3140</t>
  </si>
  <si>
    <t>1216090</t>
  </si>
  <si>
    <t>6090</t>
  </si>
  <si>
    <t>0640</t>
  </si>
  <si>
    <t>Інша діяльність у сфері житлово-комунального господарства</t>
  </si>
  <si>
    <t>Програма підтримки об"єднань співвласників багатоквартирних будинків, ЖБК, співвласників багатоквартирних будинків та управителів багатоквартирних будинків в м.Біла Церква на 2016-2020 р.</t>
  </si>
  <si>
    <t>Інша діяльність у сфері екології та охорони природних ресурсів</t>
  </si>
  <si>
    <t>0217610</t>
  </si>
  <si>
    <t>Програма відзначення державних та професійних свят, ювілейних дат, заохочення та заслуги перед містом, здійснення представницьких та інших заходів на 2017-2019 р.</t>
  </si>
  <si>
    <t>Програма щодо залучення міською радою юридичних осіб приватного права до надання безоплатної первинної правової допомоги в м.Біла Церква на 2015-2018 р.</t>
  </si>
  <si>
    <t>0829</t>
  </si>
  <si>
    <t>Програма розвитку культури, мистецтва та духовності на 2018-2022 р.</t>
  </si>
  <si>
    <t>Програма розвитку футболу на 2016-2020 р.</t>
  </si>
  <si>
    <t>1115031</t>
  </si>
  <si>
    <t>5031</t>
  </si>
  <si>
    <t>Будівництво інших об"єктів соціальної та виробничої інфраструктури комунальної власності</t>
  </si>
  <si>
    <t xml:space="preserve"> Централізовані заходи з лікування хворих на цукровий та нецукровий діабет</t>
  </si>
  <si>
    <t>Міська цільова програма "Цукровий діабет на 2018 рік"</t>
  </si>
  <si>
    <t>Інші заклади і заходи</t>
  </si>
  <si>
    <t>3121</t>
  </si>
  <si>
    <t>Утримання та забезпечення діяльності центрів соціальних служб для сім"ї, дітей та молоді</t>
  </si>
  <si>
    <t>Розробка схем планування та забудови територій</t>
  </si>
  <si>
    <t>0217330</t>
  </si>
  <si>
    <t>7330</t>
  </si>
  <si>
    <t>Інші заклади та заходи в галузі культури та мистецтва</t>
  </si>
  <si>
    <t xml:space="preserve">Перелік місцевих (регіональних) програм, які фінансуватимуться за рахунок коштів
бюджету м.Біла Церква  у 2018 році
</t>
  </si>
  <si>
    <t>3031</t>
  </si>
  <si>
    <t>Управління у справах молоді та спорту</t>
  </si>
  <si>
    <t>Програма фінансової підтримки ветеранських організацій та громадських організацій соціального спрямування на 2013-2018 р.</t>
  </si>
  <si>
    <t xml:space="preserve">Управління містобудування та архітектури </t>
  </si>
  <si>
    <t>Програма розвитку комплексного благоустрою м.Біла Церква на 2017-2021 р.</t>
  </si>
  <si>
    <t xml:space="preserve">Міська цільова програма впровадження містобудівного кадастру м.Біла Церква </t>
  </si>
  <si>
    <t>0217130</t>
  </si>
  <si>
    <t>0421</t>
  </si>
  <si>
    <t>Здійснення заходів із землеустрою</t>
  </si>
  <si>
    <t>0218220</t>
  </si>
  <si>
    <t>8220</t>
  </si>
  <si>
    <t>0380</t>
  </si>
  <si>
    <t>Заходи та роботи з мобілізаційної підготовки місцевого значення</t>
  </si>
  <si>
    <t>0217640</t>
  </si>
  <si>
    <t>0470</t>
  </si>
  <si>
    <t>Заходи з енергозбереження</t>
  </si>
  <si>
    <t>0217530</t>
  </si>
  <si>
    <t>0460</t>
  </si>
  <si>
    <t>1050</t>
  </si>
  <si>
    <t>Організація та проведення громадських робіт</t>
  </si>
  <si>
    <t>Інші заходи у сфері зв"язку, телекомунікації та інформатики</t>
  </si>
  <si>
    <t>0214080</t>
  </si>
  <si>
    <t>0813140</t>
  </si>
  <si>
    <t>0813121</t>
  </si>
  <si>
    <t>0813036</t>
  </si>
  <si>
    <t>0813035</t>
  </si>
  <si>
    <t>0813032</t>
  </si>
  <si>
    <t>0813031</t>
  </si>
  <si>
    <t>0913112</t>
  </si>
  <si>
    <t>0913140</t>
  </si>
  <si>
    <t>0712144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</si>
  <si>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2018-2022р.</t>
  </si>
  <si>
    <t>Міська комплексна програма підтримки ветеранів війни та учасників АТО на 2018-2020 р.</t>
  </si>
  <si>
    <t>Надання інших пільг окремим категоріям громадян відповідно до законодавства</t>
  </si>
  <si>
    <t>0615030</t>
  </si>
  <si>
    <t>Розвиток дитячо-юнацького та резервного спорту</t>
  </si>
  <si>
    <t>0813120</t>
  </si>
  <si>
    <t>3120</t>
  </si>
  <si>
    <t>Здійснення соціальної роботи з вразливими категоріями населення</t>
  </si>
  <si>
    <t>Соціальний захист ветеранів війни та праці</t>
  </si>
  <si>
    <t>0813030</t>
  </si>
  <si>
    <t>3030</t>
  </si>
  <si>
    <t>Надання пільг  з оплати послуг зв"язку,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</si>
  <si>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Реалізація державної політики у молодіжній сфері</t>
  </si>
  <si>
    <t>1115030</t>
  </si>
  <si>
    <t>5030</t>
  </si>
  <si>
    <t>1115010</t>
  </si>
  <si>
    <t>5010</t>
  </si>
  <si>
    <t>Проведення спортивної роботи в регіоні</t>
  </si>
  <si>
    <t>Інші заходи з розвитку фізичної культури та спорту</t>
  </si>
  <si>
    <t>Здійснення фізкультурно-спортивної та реабілітаційної роботи серед інвалідів</t>
  </si>
  <si>
    <t>0913110</t>
  </si>
  <si>
    <t>3110</t>
  </si>
  <si>
    <t>Заклади і заходи з питань дітей та їх соціального захисту</t>
  </si>
  <si>
    <t>Програми і централізовані заходи у галузі охорони здоров"я</t>
  </si>
  <si>
    <t>0813242</t>
  </si>
  <si>
    <t>3242</t>
  </si>
  <si>
    <t>0813240</t>
  </si>
  <si>
    <t>3240</t>
  </si>
  <si>
    <t>Інші заходи у сфері соціального захисту і соціального забезпечення</t>
  </si>
  <si>
    <t>0813190</t>
  </si>
  <si>
    <t>0813192</t>
  </si>
  <si>
    <t>3190</t>
  </si>
  <si>
    <t>3192</t>
  </si>
  <si>
    <t>Надання фінансової підтримки громадським організаціям ветеранів і осб з інвалідністю, діяльність яких має соціальну спрямованість</t>
  </si>
  <si>
    <t>Компенсаційні виплати за пільговий проїзд  окремих категорій громадян залізничному транспорті</t>
  </si>
  <si>
    <t>1113240</t>
  </si>
  <si>
    <t>1113242</t>
  </si>
  <si>
    <t>0712140</t>
  </si>
  <si>
    <t>Проведення навчально-тренувальних зборів і змагань та заходів зі спорту осіб з інвалідністю</t>
  </si>
  <si>
    <t>0213210</t>
  </si>
  <si>
    <t>0213240</t>
  </si>
  <si>
    <t>0213242</t>
  </si>
  <si>
    <t>Інші заходи у сфері соціального захисту та соціального забезпечення</t>
  </si>
  <si>
    <t>0214082</t>
  </si>
  <si>
    <t>Інші заходи в галузі культури і мистецтва</t>
  </si>
  <si>
    <t>0600000</t>
  </si>
  <si>
    <t>0800000</t>
  </si>
  <si>
    <t>1100000</t>
  </si>
  <si>
    <t>0900000</t>
  </si>
  <si>
    <t>1200000</t>
  </si>
  <si>
    <t>0200000</t>
  </si>
  <si>
    <t>0700000</t>
  </si>
  <si>
    <t>( у редакції рішення міської ради</t>
  </si>
  <si>
    <t xml:space="preserve">Секретар міської ради                                                                                В.Кошель                                                                                                </t>
  </si>
  <si>
    <t>7690</t>
  </si>
  <si>
    <t>7693</t>
  </si>
  <si>
    <t>0490</t>
  </si>
  <si>
    <t>Інша економічна діяльність</t>
  </si>
  <si>
    <t>Інші заходи, пов"язані з економічною діяльністю</t>
  </si>
  <si>
    <t>Програма фінансової підтримки комунальних підприємств та здійснення внесків до статутних фондів комунальних підприємств міської ради на 2017 р. та прогноз на2018-2021 р.</t>
  </si>
  <si>
    <t>0217690</t>
  </si>
  <si>
    <t>0217693</t>
  </si>
  <si>
    <t>Програма розробки містбудівної документації для використання територіальною громадою м.Біла Церква на 2015-2019 р.</t>
  </si>
  <si>
    <t>Додаток  7
до рішення міської ради
від  21 .12.2017 р. № 1880 -43  -УІІ</t>
  </si>
  <si>
    <t>1218860</t>
  </si>
  <si>
    <t>8860</t>
  </si>
  <si>
    <t>1218861</t>
  </si>
  <si>
    <t>1218862</t>
  </si>
  <si>
    <t>8861</t>
  </si>
  <si>
    <t>8862</t>
  </si>
  <si>
    <t>Бюджетні позички суб"єктам господарювання та їх повернення</t>
  </si>
  <si>
    <t>Надання позичок</t>
  </si>
  <si>
    <t>Повернення позичок</t>
  </si>
  <si>
    <t>0217670</t>
  </si>
  <si>
    <t>7670</t>
  </si>
  <si>
    <t>Внески до статутного капіталу суб"єктів господарювання</t>
  </si>
  <si>
    <t>1217670</t>
  </si>
  <si>
    <t>0824</t>
  </si>
  <si>
    <t>Забезпеченя діяьності бібліотек</t>
  </si>
  <si>
    <t>1217310</t>
  </si>
  <si>
    <t>7310</t>
  </si>
  <si>
    <t>Будівництво об"єктів ЖКГ</t>
  </si>
  <si>
    <t>Відділ капітального будівництва</t>
  </si>
  <si>
    <t>Будівництво об"єктів соціально-культурного призначення</t>
  </si>
  <si>
    <t>Будівництво  установ і закладів соціальної сфери</t>
  </si>
  <si>
    <t>Будівництво споруд, установ та закладів фізичної культури та спорту</t>
  </si>
  <si>
    <t>0813210</t>
  </si>
  <si>
    <t>3210</t>
  </si>
  <si>
    <t>1218340</t>
  </si>
  <si>
    <t>8340</t>
  </si>
  <si>
    <t>Програма соціальної підтримки осіб з обмеженням життєдіяльності</t>
  </si>
  <si>
    <t>0712150</t>
  </si>
  <si>
    <t>Інші програми, заклади та заходи у сфері охорони здоров"я</t>
  </si>
  <si>
    <t>0712152</t>
  </si>
  <si>
    <t>Інші програми у сфері охорони здоров"я</t>
  </si>
  <si>
    <t>Міська цільова програма запобігання та лікування серцево-судинних і судинно-мозкових захворювань населення м.Біла Церква на 2018-2020 роки</t>
  </si>
  <si>
    <t>0611162</t>
  </si>
  <si>
    <t>Інші програми та заходи у сфері освіти</t>
  </si>
  <si>
    <t xml:space="preserve">Міська цільова програма безоплатного та пільгового відпуску лікарських засобів у разі амбулаторного лікування окремих груп населення м.Біла Церква та за певними категоріями захворювань на 4 кв 2018 року </t>
  </si>
  <si>
    <t>від  20.12.2018 р. №             -          -УІІ)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</si>
</sst>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justify"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84" fontId="28" fillId="0" borderId="17" xfId="0" applyNumberFormat="1" applyFont="1" applyBorder="1" applyAlignment="1">
      <alignment vertical="justify"/>
    </xf>
    <xf numFmtId="3" fontId="31" fillId="0" borderId="17" xfId="0" applyNumberFormat="1" applyFont="1" applyBorder="1" applyAlignment="1">
      <alignment vertical="justify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 applyProtection="1">
      <alignment vertical="center" wrapText="1"/>
      <protection/>
    </xf>
    <xf numFmtId="3" fontId="20" fillId="0" borderId="17" xfId="0" applyNumberFormat="1" applyFont="1" applyBorder="1" applyAlignment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justify" vertical="center" wrapText="1"/>
    </xf>
    <xf numFmtId="3" fontId="34" fillId="0" borderId="20" xfId="95" applyNumberFormat="1" applyFont="1" applyBorder="1" applyAlignment="1">
      <alignment vertical="center"/>
      <protection/>
    </xf>
    <xf numFmtId="3" fontId="31" fillId="0" borderId="20" xfId="95" applyNumberFormat="1" applyFont="1" applyBorder="1" applyAlignment="1">
      <alignment vertical="center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49" fontId="32" fillId="0" borderId="21" xfId="0" applyNumberFormat="1" applyFont="1" applyBorder="1" applyAlignment="1">
      <alignment horizontal="center" vertical="center" wrapText="1"/>
    </xf>
    <xf numFmtId="0" fontId="32" fillId="0" borderId="21" xfId="0" applyFont="1" applyBorder="1" applyAlignment="1">
      <alignment vertical="center" wrapText="1"/>
    </xf>
    <xf numFmtId="3" fontId="34" fillId="0" borderId="21" xfId="95" applyNumberFormat="1" applyFont="1" applyBorder="1">
      <alignment vertical="top"/>
      <protection/>
    </xf>
    <xf numFmtId="3" fontId="31" fillId="0" borderId="21" xfId="95" applyNumberFormat="1" applyFont="1" applyBorder="1">
      <alignment vertical="top"/>
      <protection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4" fillId="0" borderId="17" xfId="95" applyNumberFormat="1" applyFont="1" applyBorder="1">
      <alignment vertical="top"/>
      <protection/>
    </xf>
    <xf numFmtId="3" fontId="31" fillId="0" borderId="17" xfId="95" applyNumberFormat="1" applyFont="1" applyBorder="1">
      <alignment vertical="top"/>
      <protection/>
    </xf>
    <xf numFmtId="49" fontId="32" fillId="0" borderId="22" xfId="0" applyNumberFormat="1" applyFont="1" applyBorder="1" applyAlignment="1">
      <alignment horizontal="center" vertical="center" wrapText="1"/>
    </xf>
    <xf numFmtId="3" fontId="34" fillId="0" borderId="22" xfId="95" applyNumberFormat="1" applyFont="1" applyBorder="1">
      <alignment vertical="top"/>
      <protection/>
    </xf>
    <xf numFmtId="49" fontId="32" fillId="0" borderId="23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3" fontId="34" fillId="0" borderId="23" xfId="95" applyNumberFormat="1" applyFont="1" applyBorder="1">
      <alignment vertical="top"/>
      <protection/>
    </xf>
    <xf numFmtId="0" fontId="32" fillId="0" borderId="17" xfId="0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3" fontId="34" fillId="0" borderId="20" xfId="95" applyNumberFormat="1" applyFont="1" applyBorder="1">
      <alignment vertical="top"/>
      <protection/>
    </xf>
    <xf numFmtId="3" fontId="31" fillId="0" borderId="20" xfId="95" applyNumberFormat="1" applyFont="1" applyBorder="1">
      <alignment vertical="top"/>
      <protection/>
    </xf>
    <xf numFmtId="49" fontId="32" fillId="0" borderId="24" xfId="0" applyNumberFormat="1" applyFont="1" applyBorder="1" applyAlignment="1">
      <alignment horizontal="center" vertical="center" wrapText="1"/>
    </xf>
    <xf numFmtId="3" fontId="34" fillId="0" borderId="24" xfId="95" applyNumberFormat="1" applyFont="1" applyBorder="1">
      <alignment vertical="top"/>
      <protection/>
    </xf>
    <xf numFmtId="0" fontId="33" fillId="0" borderId="17" xfId="0" applyFont="1" applyFill="1" applyBorder="1" applyAlignment="1">
      <alignment vertical="center" wrapText="1"/>
    </xf>
    <xf numFmtId="3" fontId="34" fillId="0" borderId="17" xfId="95" applyNumberFormat="1" applyFont="1" applyBorder="1">
      <alignment vertical="top"/>
      <protection/>
    </xf>
    <xf numFmtId="0" fontId="33" fillId="0" borderId="23" xfId="0" applyFont="1" applyFill="1" applyBorder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justify" vertical="center" wrapText="1"/>
    </xf>
    <xf numFmtId="0" fontId="33" fillId="0" borderId="22" xfId="0" applyFont="1" applyFill="1" applyBorder="1" applyAlignment="1">
      <alignment vertical="center" wrapText="1"/>
    </xf>
    <xf numFmtId="3" fontId="34" fillId="0" borderId="22" xfId="95" applyNumberFormat="1" applyFont="1" applyBorder="1" applyAlignment="1">
      <alignment vertical="top"/>
      <protection/>
    </xf>
    <xf numFmtId="0" fontId="32" fillId="0" borderId="20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3" fontId="34" fillId="0" borderId="20" xfId="95" applyNumberFormat="1" applyFont="1" applyBorder="1" applyAlignment="1">
      <alignment vertical="top"/>
      <protection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wrapText="1"/>
    </xf>
    <xf numFmtId="3" fontId="34" fillId="0" borderId="17" xfId="95" applyNumberFormat="1" applyFont="1" applyFill="1" applyBorder="1">
      <alignment vertical="top"/>
      <protection/>
    </xf>
    <xf numFmtId="0" fontId="32" fillId="0" borderId="23" xfId="0" applyFont="1" applyBorder="1" applyAlignment="1">
      <alignment horizontal="center" vertical="center" wrapText="1"/>
    </xf>
    <xf numFmtId="3" fontId="34" fillId="0" borderId="23" xfId="95" applyNumberFormat="1" applyFont="1" applyFill="1" applyBorder="1">
      <alignment vertical="top"/>
      <protection/>
    </xf>
    <xf numFmtId="0" fontId="32" fillId="0" borderId="23" xfId="0" applyFont="1" applyFill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1" fillId="0" borderId="0" xfId="0" applyNumberFormat="1" applyFont="1" applyBorder="1" applyAlignment="1">
      <alignment vertical="justify"/>
    </xf>
    <xf numFmtId="0" fontId="0" fillId="0" borderId="0" xfId="0" applyFill="1" applyAlignment="1">
      <alignment/>
    </xf>
    <xf numFmtId="0" fontId="32" fillId="0" borderId="22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184" fontId="31" fillId="0" borderId="17" xfId="95" applyNumberFormat="1" applyFont="1" applyFill="1" applyBorder="1" applyAlignment="1">
      <alignment vertical="top" wrapText="1"/>
      <protection/>
    </xf>
    <xf numFmtId="0" fontId="32" fillId="0" borderId="20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justify" vertical="center" wrapText="1"/>
    </xf>
    <xf numFmtId="0" fontId="33" fillId="0" borderId="20" xfId="0" applyFont="1" applyFill="1" applyBorder="1" applyAlignment="1">
      <alignment wrapText="1"/>
    </xf>
    <xf numFmtId="0" fontId="20" fillId="0" borderId="17" xfId="0" applyFont="1" applyFill="1" applyBorder="1" applyAlignment="1">
      <alignment horizontal="justify" vertical="center" wrapText="1"/>
    </xf>
    <xf numFmtId="184" fontId="34" fillId="0" borderId="17" xfId="95" applyNumberFormat="1" applyFont="1" applyFill="1" applyBorder="1" applyAlignment="1">
      <alignment vertical="top" wrapText="1"/>
      <protection/>
    </xf>
    <xf numFmtId="0" fontId="32" fillId="0" borderId="22" xfId="0" applyFont="1" applyFill="1" applyBorder="1" applyAlignment="1">
      <alignment horizontal="justify" vertical="center" wrapText="1"/>
    </xf>
    <xf numFmtId="0" fontId="35" fillId="0" borderId="21" xfId="0" applyFont="1" applyFill="1" applyBorder="1" applyAlignment="1">
      <alignment wrapText="1"/>
    </xf>
    <xf numFmtId="3" fontId="34" fillId="0" borderId="20" xfId="95" applyNumberFormat="1" applyFont="1" applyFill="1" applyBorder="1">
      <alignment vertical="top"/>
      <protection/>
    </xf>
    <xf numFmtId="49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3" fontId="31" fillId="0" borderId="17" xfId="95" applyNumberFormat="1" applyFont="1" applyFill="1" applyBorder="1">
      <alignment vertical="top"/>
      <protection/>
    </xf>
    <xf numFmtId="0" fontId="32" fillId="0" borderId="26" xfId="0" applyFont="1" applyBorder="1" applyAlignment="1">
      <alignment horizontal="center" vertical="center" wrapText="1"/>
    </xf>
    <xf numFmtId="3" fontId="31" fillId="0" borderId="25" xfId="95" applyNumberFormat="1" applyFont="1" applyFill="1" applyBorder="1">
      <alignment vertical="top"/>
      <protection/>
    </xf>
    <xf numFmtId="0" fontId="32" fillId="0" borderId="27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wrapText="1"/>
    </xf>
    <xf numFmtId="0" fontId="33" fillId="0" borderId="20" xfId="0" applyFont="1" applyFill="1" applyBorder="1" applyAlignment="1">
      <alignment horizontal="left" vertical="center" wrapText="1"/>
    </xf>
    <xf numFmtId="3" fontId="31" fillId="0" borderId="20" xfId="95" applyNumberFormat="1" applyFont="1" applyBorder="1" applyAlignment="1">
      <alignment horizontal="right" vertical="top"/>
      <protection/>
    </xf>
    <xf numFmtId="3" fontId="31" fillId="0" borderId="21" xfId="95" applyNumberFormat="1" applyFont="1" applyBorder="1" applyAlignment="1">
      <alignment horizontal="right" vertical="top"/>
      <protection/>
    </xf>
    <xf numFmtId="3" fontId="31" fillId="0" borderId="25" xfId="95" applyNumberFormat="1" applyFont="1" applyBorder="1" applyAlignment="1">
      <alignment horizontal="right" vertical="top"/>
      <protection/>
    </xf>
    <xf numFmtId="3" fontId="31" fillId="0" borderId="23" xfId="95" applyNumberFormat="1" applyFont="1" applyBorder="1" applyAlignment="1">
      <alignment horizontal="right" vertical="top"/>
      <protection/>
    </xf>
    <xf numFmtId="3" fontId="31" fillId="0" borderId="22" xfId="95" applyNumberFormat="1" applyFont="1" applyBorder="1" applyAlignment="1">
      <alignment horizontal="right" vertical="top"/>
      <protection/>
    </xf>
    <xf numFmtId="3" fontId="31" fillId="0" borderId="17" xfId="95" applyNumberFormat="1" applyFont="1" applyBorder="1" applyAlignment="1">
      <alignment horizontal="right" vertical="top"/>
      <protection/>
    </xf>
    <xf numFmtId="3" fontId="31" fillId="0" borderId="20" xfId="95" applyNumberFormat="1" applyFont="1" applyFill="1" applyBorder="1" applyAlignment="1">
      <alignment horizontal="right" vertical="top"/>
      <protection/>
    </xf>
    <xf numFmtId="3" fontId="31" fillId="0" borderId="24" xfId="95" applyNumberFormat="1" applyFont="1" applyBorder="1" applyAlignment="1">
      <alignment horizontal="right" vertical="top"/>
      <protection/>
    </xf>
    <xf numFmtId="49" fontId="32" fillId="0" borderId="29" xfId="0" applyNumberFormat="1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wrapText="1"/>
    </xf>
    <xf numFmtId="0" fontId="20" fillId="0" borderId="30" xfId="0" applyFont="1" applyFill="1" applyBorder="1" applyAlignment="1">
      <alignment horizontal="justify" vertical="center" wrapText="1"/>
    </xf>
    <xf numFmtId="0" fontId="33" fillId="0" borderId="21" xfId="0" applyFont="1" applyFill="1" applyBorder="1" applyAlignment="1">
      <alignment wrapText="1"/>
    </xf>
    <xf numFmtId="3" fontId="34" fillId="0" borderId="24" xfId="95" applyNumberFormat="1" applyFont="1" applyBorder="1" applyAlignment="1">
      <alignment vertical="center"/>
      <protection/>
    </xf>
    <xf numFmtId="0" fontId="33" fillId="0" borderId="23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center" vertical="center" wrapText="1"/>
    </xf>
    <xf numFmtId="49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49" fontId="37" fillId="0" borderId="20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justify" vertical="center" wrapText="1"/>
    </xf>
    <xf numFmtId="0" fontId="38" fillId="0" borderId="21" xfId="0" applyFont="1" applyFill="1" applyBorder="1" applyAlignment="1">
      <alignment horizontal="center" vertical="center" wrapText="1"/>
    </xf>
    <xf numFmtId="3" fontId="39" fillId="0" borderId="20" xfId="95" applyNumberFormat="1" applyFont="1" applyBorder="1" applyAlignment="1">
      <alignment vertical="center"/>
      <protection/>
    </xf>
    <xf numFmtId="0" fontId="37" fillId="0" borderId="20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wrapText="1"/>
    </xf>
    <xf numFmtId="3" fontId="39" fillId="0" borderId="20" xfId="95" applyNumberFormat="1" applyFont="1" applyBorder="1">
      <alignment vertical="top"/>
      <protection/>
    </xf>
    <xf numFmtId="3" fontId="40" fillId="0" borderId="20" xfId="95" applyNumberFormat="1" applyFont="1" applyBorder="1" applyAlignment="1">
      <alignment horizontal="right" vertical="top"/>
      <protection/>
    </xf>
    <xf numFmtId="0" fontId="33" fillId="0" borderId="24" xfId="0" applyFont="1" applyFill="1" applyBorder="1" applyAlignment="1">
      <alignment wrapText="1"/>
    </xf>
    <xf numFmtId="49" fontId="37" fillId="0" borderId="21" xfId="0" applyNumberFormat="1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3" fontId="39" fillId="0" borderId="21" xfId="95" applyNumberFormat="1" applyFont="1" applyBorder="1">
      <alignment vertical="top"/>
      <protection/>
    </xf>
    <xf numFmtId="3" fontId="40" fillId="0" borderId="21" xfId="95" applyNumberFormat="1" applyFont="1" applyBorder="1" applyAlignment="1">
      <alignment horizontal="right" vertical="top"/>
      <protection/>
    </xf>
    <xf numFmtId="3" fontId="40" fillId="0" borderId="23" xfId="95" applyNumberFormat="1" applyFont="1" applyBorder="1" applyAlignment="1">
      <alignment horizontal="right" vertical="top"/>
      <protection/>
    </xf>
    <xf numFmtId="3" fontId="31" fillId="0" borderId="22" xfId="95" applyNumberFormat="1" applyFont="1" applyBorder="1">
      <alignment vertical="top"/>
      <protection/>
    </xf>
    <xf numFmtId="0" fontId="38" fillId="0" borderId="20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vertical="center" wrapText="1"/>
    </xf>
    <xf numFmtId="0" fontId="37" fillId="0" borderId="21" xfId="0" applyFont="1" applyBorder="1" applyAlignment="1">
      <alignment horizontal="justify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49" fontId="32" fillId="0" borderId="31" xfId="0" applyNumberFormat="1" applyFont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justify" vertical="center" wrapText="1"/>
    </xf>
    <xf numFmtId="184" fontId="36" fillId="0" borderId="20" xfId="95" applyNumberFormat="1" applyFont="1" applyFill="1" applyBorder="1" applyAlignment="1">
      <alignment vertical="top" wrapText="1"/>
      <protection/>
    </xf>
    <xf numFmtId="49" fontId="20" fillId="0" borderId="22" xfId="0" applyNumberFormat="1" applyFont="1" applyBorder="1" applyAlignment="1">
      <alignment horizontal="center" vertical="center" wrapText="1"/>
    </xf>
    <xf numFmtId="184" fontId="41" fillId="0" borderId="20" xfId="95" applyNumberFormat="1" applyFont="1" applyFill="1" applyBorder="1" applyAlignment="1">
      <alignment vertical="top" wrapText="1"/>
      <protection/>
    </xf>
    <xf numFmtId="0" fontId="38" fillId="0" borderId="2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38" fillId="0" borderId="21" xfId="0" applyFont="1" applyFill="1" applyBorder="1" applyAlignment="1">
      <alignment wrapText="1"/>
    </xf>
    <xf numFmtId="3" fontId="40" fillId="0" borderId="20" xfId="95" applyNumberFormat="1" applyFont="1" applyBorder="1">
      <alignment vertical="top"/>
      <protection/>
    </xf>
    <xf numFmtId="0" fontId="26" fillId="0" borderId="23" xfId="0" applyFont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20" fillId="0" borderId="21" xfId="0" applyFont="1" applyFill="1" applyBorder="1" applyAlignment="1">
      <alignment horizontal="justify" vertical="center" wrapText="1"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34" xfId="0" applyNumberFormat="1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3" fontId="39" fillId="0" borderId="23" xfId="95" applyNumberFormat="1" applyFont="1" applyBorder="1">
      <alignment vertical="top"/>
      <protection/>
    </xf>
    <xf numFmtId="3" fontId="39" fillId="0" borderId="20" xfId="95" applyNumberFormat="1" applyFont="1" applyBorder="1" applyAlignment="1">
      <alignment vertical="top"/>
      <protection/>
    </xf>
    <xf numFmtId="3" fontId="31" fillId="0" borderId="20" xfId="95" applyNumberFormat="1" applyFont="1" applyBorder="1" applyAlignment="1">
      <alignment vertical="top"/>
      <protection/>
    </xf>
    <xf numFmtId="3" fontId="31" fillId="0" borderId="17" xfId="95" applyNumberFormat="1" applyFont="1" applyFill="1" applyBorder="1" applyAlignment="1">
      <alignment horizontal="right" vertical="top"/>
      <protection/>
    </xf>
    <xf numFmtId="0" fontId="33" fillId="0" borderId="22" xfId="0" applyFont="1" applyFill="1" applyBorder="1" applyAlignment="1">
      <alignment wrapText="1"/>
    </xf>
    <xf numFmtId="3" fontId="34" fillId="0" borderId="22" xfId="95" applyNumberFormat="1" applyFont="1" applyFill="1" applyBorder="1">
      <alignment vertical="top"/>
      <protection/>
    </xf>
    <xf numFmtId="49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>
      <alignment horizontal="justify" vertical="center" wrapText="1"/>
    </xf>
    <xf numFmtId="3" fontId="34" fillId="0" borderId="21" xfId="95" applyNumberFormat="1" applyFont="1" applyFill="1" applyBorder="1">
      <alignment vertical="top"/>
      <protection/>
    </xf>
    <xf numFmtId="0" fontId="32" fillId="0" borderId="35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justify" vertical="center" wrapText="1"/>
    </xf>
    <xf numFmtId="3" fontId="34" fillId="0" borderId="24" xfId="95" applyNumberFormat="1" applyFont="1" applyFill="1" applyBorder="1">
      <alignment vertical="top"/>
      <protection/>
    </xf>
    <xf numFmtId="0" fontId="32" fillId="0" borderId="36" xfId="0" applyFont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0" fontId="33" fillId="0" borderId="30" xfId="0" applyFont="1" applyFill="1" applyBorder="1" applyAlignment="1">
      <alignment vertical="center" wrapText="1"/>
    </xf>
    <xf numFmtId="3" fontId="34" fillId="0" borderId="36" xfId="95" applyNumberFormat="1" applyFont="1" applyFill="1" applyBorder="1">
      <alignment vertical="top"/>
      <protection/>
    </xf>
    <xf numFmtId="0" fontId="20" fillId="0" borderId="30" xfId="0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justify" vertical="center" wrapText="1"/>
    </xf>
    <xf numFmtId="0" fontId="32" fillId="0" borderId="31" xfId="0" applyFont="1" applyBorder="1" applyAlignment="1">
      <alignment horizontal="center" vertical="center" wrapText="1"/>
    </xf>
    <xf numFmtId="3" fontId="31" fillId="0" borderId="30" xfId="95" applyNumberFormat="1" applyFont="1" applyFill="1" applyBorder="1">
      <alignment vertical="top"/>
      <protection/>
    </xf>
    <xf numFmtId="3" fontId="34" fillId="0" borderId="22" xfId="95" applyNumberFormat="1" applyFont="1" applyFill="1" applyBorder="1" applyAlignment="1">
      <alignment vertical="center"/>
      <protection/>
    </xf>
    <xf numFmtId="3" fontId="31" fillId="0" borderId="22" xfId="95" applyNumberFormat="1" applyFont="1" applyBorder="1" applyAlignment="1">
      <alignment horizontal="right" vertical="center"/>
      <protection/>
    </xf>
    <xf numFmtId="3" fontId="31" fillId="0" borderId="23" xfId="95" applyNumberFormat="1" applyFont="1" applyFill="1" applyBorder="1" applyAlignment="1">
      <alignment horizontal="right" vertical="top"/>
      <protection/>
    </xf>
    <xf numFmtId="0" fontId="37" fillId="0" borderId="24" xfId="0" applyFont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 wrapText="1"/>
    </xf>
    <xf numFmtId="0" fontId="37" fillId="0" borderId="24" xfId="0" applyFont="1" applyBorder="1" applyAlignment="1">
      <alignment horizontal="justify" vertical="center" wrapText="1"/>
    </xf>
    <xf numFmtId="3" fontId="39" fillId="0" borderId="24" xfId="95" applyNumberFormat="1" applyFont="1" applyBorder="1">
      <alignment vertical="top"/>
      <protection/>
    </xf>
    <xf numFmtId="3" fontId="39" fillId="0" borderId="24" xfId="95" applyNumberFormat="1" applyFont="1" applyBorder="1" applyAlignment="1">
      <alignment horizontal="right" vertical="top"/>
      <protection/>
    </xf>
    <xf numFmtId="184" fontId="39" fillId="0" borderId="24" xfId="95" applyNumberFormat="1" applyFont="1" applyBorder="1" applyAlignment="1">
      <alignment vertical="top" wrapText="1"/>
      <protection/>
    </xf>
    <xf numFmtId="184" fontId="36" fillId="0" borderId="24" xfId="95" applyNumberFormat="1" applyFont="1" applyBorder="1" applyAlignment="1">
      <alignment vertical="top" wrapText="1"/>
      <protection/>
    </xf>
    <xf numFmtId="3" fontId="40" fillId="0" borderId="20" xfId="95" applyNumberFormat="1" applyFont="1" applyBorder="1" applyAlignment="1">
      <alignment vertical="center"/>
      <protection/>
    </xf>
    <xf numFmtId="3" fontId="31" fillId="0" borderId="21" xfId="95" applyNumberFormat="1" applyFont="1" applyFill="1" applyBorder="1" applyAlignment="1">
      <alignment horizontal="right" vertical="top"/>
      <protection/>
    </xf>
    <xf numFmtId="0" fontId="32" fillId="0" borderId="21" xfId="0" applyFont="1" applyBorder="1" applyAlignment="1">
      <alignment horizontal="justify" vertical="center" wrapText="1"/>
    </xf>
    <xf numFmtId="184" fontId="39" fillId="0" borderId="21" xfId="95" applyNumberFormat="1" applyFont="1" applyFill="1" applyBorder="1" applyAlignment="1">
      <alignment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2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8" fillId="0" borderId="24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1"/>
  <sheetViews>
    <sheetView tabSelected="1" zoomScalePageLayoutView="0" workbookViewId="0" topLeftCell="B100">
      <selection activeCell="F113" sqref="F113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8.16015625" style="0" customWidth="1"/>
    <col min="4" max="4" width="52.83203125" style="0" customWidth="1"/>
    <col min="5" max="5" width="74.66015625" style="0" customWidth="1"/>
    <col min="6" max="6" width="18.5" style="0" customWidth="1"/>
    <col min="7" max="7" width="19.5" style="0" customWidth="1"/>
    <col min="8" max="8" width="25.66015625" style="0" customWidth="1"/>
  </cols>
  <sheetData>
    <row r="3" spans="1:8" ht="56.25" customHeight="1">
      <c r="A3" s="4"/>
      <c r="B3" s="4"/>
      <c r="C3" s="4"/>
      <c r="D3" s="1"/>
      <c r="E3" s="1"/>
      <c r="F3" s="204" t="s">
        <v>188</v>
      </c>
      <c r="G3" s="204"/>
      <c r="H3" s="204"/>
    </row>
    <row r="4" spans="1:8" ht="15" customHeight="1">
      <c r="A4" s="4"/>
      <c r="B4" s="4"/>
      <c r="C4" s="4"/>
      <c r="D4" s="1"/>
      <c r="E4" s="1"/>
      <c r="F4" s="204" t="s">
        <v>177</v>
      </c>
      <c r="G4" s="205"/>
      <c r="H4" s="205"/>
    </row>
    <row r="5" spans="1:8" ht="15" customHeight="1">
      <c r="A5" s="4"/>
      <c r="B5" s="4"/>
      <c r="C5" s="4"/>
      <c r="D5" s="1"/>
      <c r="E5" s="1"/>
      <c r="F5" s="204" t="s">
        <v>224</v>
      </c>
      <c r="G5" s="205"/>
      <c r="H5" s="205"/>
    </row>
    <row r="6" spans="1:8" ht="16.5" customHeight="1">
      <c r="A6" s="4"/>
      <c r="B6" s="4"/>
      <c r="C6" s="4"/>
      <c r="D6" s="1"/>
      <c r="E6" s="1"/>
      <c r="F6" s="204"/>
      <c r="G6" s="204"/>
      <c r="H6" s="204"/>
    </row>
    <row r="7" spans="1:8" ht="16.5" customHeight="1">
      <c r="A7" s="4"/>
      <c r="B7" s="4"/>
      <c r="C7" s="4"/>
      <c r="D7" s="1"/>
      <c r="E7" s="1"/>
      <c r="F7" s="204"/>
      <c r="G7" s="204"/>
      <c r="H7" s="204"/>
    </row>
    <row r="8" spans="1:8" ht="48.75" customHeight="1">
      <c r="A8" s="206" t="s">
        <v>93</v>
      </c>
      <c r="B8" s="206"/>
      <c r="C8" s="206"/>
      <c r="D8" s="206"/>
      <c r="E8" s="206"/>
      <c r="F8" s="206"/>
      <c r="G8" s="206"/>
      <c r="H8" s="206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3" t="s">
        <v>14</v>
      </c>
      <c r="B10" s="13" t="s">
        <v>39</v>
      </c>
      <c r="C10" s="13" t="s">
        <v>2</v>
      </c>
      <c r="D10" s="148" t="s">
        <v>15</v>
      </c>
      <c r="E10" s="149" t="s">
        <v>4</v>
      </c>
      <c r="F10" s="150" t="s">
        <v>0</v>
      </c>
      <c r="G10" s="149" t="s">
        <v>1</v>
      </c>
      <c r="H10" s="149" t="s">
        <v>5</v>
      </c>
    </row>
    <row r="11" spans="1:8" ht="16.5" customHeight="1" thickBot="1">
      <c r="A11" s="151">
        <v>1</v>
      </c>
      <c r="B11" s="151">
        <v>2</v>
      </c>
      <c r="C11" s="152">
        <v>3</v>
      </c>
      <c r="D11" s="153">
        <v>4</v>
      </c>
      <c r="E11" s="147">
        <v>5</v>
      </c>
      <c r="F11" s="152">
        <v>6</v>
      </c>
      <c r="G11" s="147">
        <v>7</v>
      </c>
      <c r="H11" s="147">
        <v>8</v>
      </c>
    </row>
    <row r="12" spans="1:8" ht="25.5" customHeight="1" thickBot="1">
      <c r="A12" s="164" t="s">
        <v>170</v>
      </c>
      <c r="B12" s="14"/>
      <c r="C12" s="15"/>
      <c r="D12" s="16" t="s">
        <v>7</v>
      </c>
      <c r="E12" s="17"/>
      <c r="F12" s="18">
        <f>SUM(F13,F16,F18,F19)</f>
        <v>2280052</v>
      </c>
      <c r="G12" s="19">
        <f>665366-7000+125998</f>
        <v>784364</v>
      </c>
      <c r="H12" s="18">
        <f>SUM(H13,H16,H18,H19)</f>
        <v>3064416</v>
      </c>
    </row>
    <row r="13" spans="1:8" ht="42" customHeight="1">
      <c r="A13" s="83" t="s">
        <v>55</v>
      </c>
      <c r="B13" s="20">
        <v>1160</v>
      </c>
      <c r="C13" s="21"/>
      <c r="D13" s="22" t="s">
        <v>53</v>
      </c>
      <c r="E13" s="96"/>
      <c r="F13" s="24">
        <f>180000+117000+244002</f>
        <v>541002</v>
      </c>
      <c r="G13" s="24">
        <v>125998</v>
      </c>
      <c r="H13" s="99">
        <f>SUM(F13:G13)</f>
        <v>667000</v>
      </c>
    </row>
    <row r="14" spans="1:8" ht="42" customHeight="1">
      <c r="A14" s="114" t="s">
        <v>221</v>
      </c>
      <c r="B14" s="115">
        <v>1162</v>
      </c>
      <c r="C14" s="116" t="s">
        <v>26</v>
      </c>
      <c r="D14" s="117" t="s">
        <v>222</v>
      </c>
      <c r="E14" s="131" t="s">
        <v>54</v>
      </c>
      <c r="F14" s="119">
        <v>180000</v>
      </c>
      <c r="G14" s="200"/>
      <c r="H14" s="123">
        <v>180000</v>
      </c>
    </row>
    <row r="15" spans="1:8" ht="42" customHeight="1">
      <c r="A15" s="114" t="s">
        <v>221</v>
      </c>
      <c r="B15" s="115">
        <v>1162</v>
      </c>
      <c r="C15" s="116" t="s">
        <v>26</v>
      </c>
      <c r="D15" s="117" t="s">
        <v>222</v>
      </c>
      <c r="E15" s="143" t="s">
        <v>40</v>
      </c>
      <c r="F15" s="119">
        <f>117000+244002</f>
        <v>361002</v>
      </c>
      <c r="G15" s="200">
        <v>125998</v>
      </c>
      <c r="H15" s="123">
        <f>117000+244002+125998</f>
        <v>487000</v>
      </c>
    </row>
    <row r="16" spans="1:8" ht="42" customHeight="1">
      <c r="A16" s="83" t="s">
        <v>128</v>
      </c>
      <c r="B16" s="20">
        <v>5030</v>
      </c>
      <c r="C16" s="21"/>
      <c r="D16" s="22" t="s">
        <v>129</v>
      </c>
      <c r="E16" s="112"/>
      <c r="F16" s="23">
        <v>567000</v>
      </c>
      <c r="G16" s="24"/>
      <c r="H16" s="99">
        <f>SUM(F16:G16)</f>
        <v>567000</v>
      </c>
    </row>
    <row r="17" spans="1:8" ht="49.5" customHeight="1">
      <c r="A17" s="114" t="s">
        <v>56</v>
      </c>
      <c r="B17" s="115">
        <v>5031</v>
      </c>
      <c r="C17" s="116" t="s">
        <v>27</v>
      </c>
      <c r="D17" s="117" t="s">
        <v>18</v>
      </c>
      <c r="E17" s="118" t="s">
        <v>59</v>
      </c>
      <c r="F17" s="119">
        <v>567000</v>
      </c>
      <c r="G17" s="24"/>
      <c r="H17" s="99">
        <f>SUM(F17:G17)</f>
        <v>567000</v>
      </c>
    </row>
    <row r="18" spans="1:8" ht="83.25" customHeight="1">
      <c r="A18" s="83" t="s">
        <v>57</v>
      </c>
      <c r="B18" s="25">
        <v>1020</v>
      </c>
      <c r="C18" s="26" t="s">
        <v>28</v>
      </c>
      <c r="D18" s="27" t="s">
        <v>58</v>
      </c>
      <c r="E18" s="113" t="s">
        <v>59</v>
      </c>
      <c r="F18" s="28">
        <v>810656</v>
      </c>
      <c r="G18" s="29"/>
      <c r="H18" s="100">
        <f aca="true" t="shared" si="0" ref="H18:H59">SUM(F18:G18)</f>
        <v>810656</v>
      </c>
    </row>
    <row r="19" spans="1:8" ht="82.5" customHeight="1" thickBot="1">
      <c r="A19" s="175" t="s">
        <v>57</v>
      </c>
      <c r="B19" s="176">
        <v>1020</v>
      </c>
      <c r="C19" s="37" t="s">
        <v>28</v>
      </c>
      <c r="D19" s="27" t="s">
        <v>58</v>
      </c>
      <c r="E19" s="53" t="s">
        <v>46</v>
      </c>
      <c r="F19" s="38">
        <f>382194-27800+7000</f>
        <v>361394</v>
      </c>
      <c r="G19" s="38">
        <f>576796+60770+27800-7000</f>
        <v>658366</v>
      </c>
      <c r="H19" s="100">
        <f t="shared" si="0"/>
        <v>1019760</v>
      </c>
    </row>
    <row r="20" spans="1:8" ht="30.75" customHeight="1" thickBot="1">
      <c r="A20" s="30" t="s">
        <v>171</v>
      </c>
      <c r="B20" s="17"/>
      <c r="C20" s="30"/>
      <c r="D20" s="31" t="s">
        <v>8</v>
      </c>
      <c r="E20" s="32"/>
      <c r="F20" s="33">
        <f>SUM(F21,F24:F25,F27,F29,F31,F33,F35,F40)</f>
        <v>28490140</v>
      </c>
      <c r="G20" s="33">
        <f>SUM(G21,G24:G25,G27,G29,G31,G33,G35,G40)</f>
        <v>0</v>
      </c>
      <c r="H20" s="33">
        <f>SUM(H21,H24:H25,H27,H29,H31,H33,H35,H40)</f>
        <v>28490140</v>
      </c>
    </row>
    <row r="21" spans="1:8" ht="35.25" customHeight="1">
      <c r="A21" s="34" t="s">
        <v>151</v>
      </c>
      <c r="B21" s="34" t="s">
        <v>152</v>
      </c>
      <c r="C21" s="34"/>
      <c r="D21" s="69" t="s">
        <v>86</v>
      </c>
      <c r="E21" s="53"/>
      <c r="F21" s="35">
        <v>6930000</v>
      </c>
      <c r="G21" s="35"/>
      <c r="H21" s="99">
        <f t="shared" si="0"/>
        <v>6930000</v>
      </c>
    </row>
    <row r="22" spans="1:8" s="144" customFormat="1" ht="43.5" customHeight="1">
      <c r="A22" s="116" t="s">
        <v>149</v>
      </c>
      <c r="B22" s="116" t="s">
        <v>150</v>
      </c>
      <c r="C22" s="116" t="s">
        <v>25</v>
      </c>
      <c r="D22" s="120" t="s">
        <v>153</v>
      </c>
      <c r="E22" s="143" t="s">
        <v>60</v>
      </c>
      <c r="F22" s="122">
        <f>3000000+1000000+1000000+600000+400000+600000+280000</f>
        <v>6880000</v>
      </c>
      <c r="G22" s="122"/>
      <c r="H22" s="123">
        <f>SUM(F22:G22)</f>
        <v>6880000</v>
      </c>
    </row>
    <row r="23" spans="1:8" s="144" customFormat="1" ht="43.5" customHeight="1">
      <c r="A23" s="116" t="s">
        <v>149</v>
      </c>
      <c r="B23" s="116" t="s">
        <v>150</v>
      </c>
      <c r="C23" s="116" t="s">
        <v>25</v>
      </c>
      <c r="D23" s="120" t="s">
        <v>153</v>
      </c>
      <c r="E23" s="143" t="s">
        <v>215</v>
      </c>
      <c r="F23" s="122">
        <f>450000-400000</f>
        <v>50000</v>
      </c>
      <c r="G23" s="122"/>
      <c r="H23" s="128">
        <f>450000-400000</f>
        <v>50000</v>
      </c>
    </row>
    <row r="24" spans="1:8" ht="64.5" customHeight="1">
      <c r="A24" s="21" t="s">
        <v>116</v>
      </c>
      <c r="B24" s="21" t="s">
        <v>68</v>
      </c>
      <c r="C24" s="21" t="s">
        <v>31</v>
      </c>
      <c r="D24" s="70" t="s">
        <v>21</v>
      </c>
      <c r="E24" s="95" t="s">
        <v>59</v>
      </c>
      <c r="F24" s="41">
        <v>200000</v>
      </c>
      <c r="G24" s="41"/>
      <c r="H24" s="102">
        <v>200000</v>
      </c>
    </row>
    <row r="25" spans="1:8" ht="51.75" customHeight="1">
      <c r="A25" s="21" t="s">
        <v>151</v>
      </c>
      <c r="B25" s="21" t="s">
        <v>152</v>
      </c>
      <c r="C25" s="21"/>
      <c r="D25" s="74" t="s">
        <v>86</v>
      </c>
      <c r="E25" s="98" t="s">
        <v>12</v>
      </c>
      <c r="F25" s="41">
        <v>65340</v>
      </c>
      <c r="G25" s="41"/>
      <c r="H25" s="100">
        <f t="shared" si="0"/>
        <v>65340</v>
      </c>
    </row>
    <row r="26" spans="1:8" s="144" customFormat="1" ht="50.25" customHeight="1">
      <c r="A26" s="116" t="s">
        <v>149</v>
      </c>
      <c r="B26" s="116" t="s">
        <v>150</v>
      </c>
      <c r="C26" s="116" t="s">
        <v>25</v>
      </c>
      <c r="D26" s="120" t="s">
        <v>153</v>
      </c>
      <c r="E26" s="131" t="s">
        <v>12</v>
      </c>
      <c r="F26" s="122">
        <v>65340</v>
      </c>
      <c r="G26" s="122"/>
      <c r="H26" s="123">
        <f t="shared" si="0"/>
        <v>65340</v>
      </c>
    </row>
    <row r="27" spans="1:8" ht="64.5" customHeight="1">
      <c r="A27" s="21" t="s">
        <v>130</v>
      </c>
      <c r="B27" s="21" t="s">
        <v>131</v>
      </c>
      <c r="C27" s="21"/>
      <c r="D27" s="74" t="s">
        <v>132</v>
      </c>
      <c r="E27" s="77" t="s">
        <v>125</v>
      </c>
      <c r="F27" s="41">
        <v>20000</v>
      </c>
      <c r="G27" s="41"/>
      <c r="H27" s="100">
        <f t="shared" si="0"/>
        <v>20000</v>
      </c>
    </row>
    <row r="28" spans="1:8" ht="60" customHeight="1">
      <c r="A28" s="116" t="s">
        <v>117</v>
      </c>
      <c r="B28" s="116" t="s">
        <v>87</v>
      </c>
      <c r="C28" s="116" t="s">
        <v>31</v>
      </c>
      <c r="D28" s="120" t="s">
        <v>88</v>
      </c>
      <c r="E28" s="121" t="s">
        <v>125</v>
      </c>
      <c r="F28" s="122">
        <v>20000</v>
      </c>
      <c r="G28" s="41"/>
      <c r="H28" s="123">
        <f t="shared" si="0"/>
        <v>20000</v>
      </c>
    </row>
    <row r="29" spans="1:8" ht="60" customHeight="1">
      <c r="A29" s="21" t="s">
        <v>154</v>
      </c>
      <c r="B29" s="21" t="s">
        <v>156</v>
      </c>
      <c r="C29" s="21"/>
      <c r="D29" s="74" t="s">
        <v>133</v>
      </c>
      <c r="E29" s="97" t="s">
        <v>96</v>
      </c>
      <c r="F29" s="41">
        <v>312500</v>
      </c>
      <c r="G29" s="41"/>
      <c r="H29" s="123">
        <f t="shared" si="0"/>
        <v>312500</v>
      </c>
    </row>
    <row r="30" spans="1:8" ht="48.75" customHeight="1">
      <c r="A30" s="116" t="s">
        <v>155</v>
      </c>
      <c r="B30" s="116" t="s">
        <v>157</v>
      </c>
      <c r="C30" s="116" t="s">
        <v>30</v>
      </c>
      <c r="D30" s="120" t="s">
        <v>158</v>
      </c>
      <c r="E30" s="207" t="s">
        <v>96</v>
      </c>
      <c r="F30" s="122">
        <v>312500</v>
      </c>
      <c r="G30" s="41"/>
      <c r="H30" s="123">
        <f t="shared" si="0"/>
        <v>312500</v>
      </c>
    </row>
    <row r="31" spans="1:8" ht="33.75" customHeight="1">
      <c r="A31" s="21" t="s">
        <v>151</v>
      </c>
      <c r="B31" s="21" t="s">
        <v>152</v>
      </c>
      <c r="C31" s="21"/>
      <c r="D31" s="74" t="s">
        <v>86</v>
      </c>
      <c r="E31" s="208"/>
      <c r="F31" s="41">
        <v>47000</v>
      </c>
      <c r="G31" s="41"/>
      <c r="H31" s="99">
        <f t="shared" si="0"/>
        <v>47000</v>
      </c>
    </row>
    <row r="32" spans="1:8" ht="29.25" customHeight="1">
      <c r="A32" s="116" t="s">
        <v>149</v>
      </c>
      <c r="B32" s="116" t="s">
        <v>150</v>
      </c>
      <c r="C32" s="116" t="s">
        <v>25</v>
      </c>
      <c r="D32" s="120" t="s">
        <v>153</v>
      </c>
      <c r="E32" s="209"/>
      <c r="F32" s="127">
        <v>47000</v>
      </c>
      <c r="G32" s="127"/>
      <c r="H32" s="128">
        <f t="shared" si="0"/>
        <v>47000</v>
      </c>
    </row>
    <row r="33" spans="1:8" ht="41.25" customHeight="1">
      <c r="A33" s="21" t="s">
        <v>151</v>
      </c>
      <c r="B33" s="21" t="s">
        <v>152</v>
      </c>
      <c r="C33" s="21"/>
      <c r="D33" s="74" t="s">
        <v>86</v>
      </c>
      <c r="E33" s="110" t="s">
        <v>126</v>
      </c>
      <c r="F33" s="28">
        <f>600000-500000</f>
        <v>100000</v>
      </c>
      <c r="G33" s="28"/>
      <c r="H33" s="100">
        <f>SUM(F33:G33)</f>
        <v>100000</v>
      </c>
    </row>
    <row r="34" spans="1:8" ht="41.25" customHeight="1">
      <c r="A34" s="116" t="s">
        <v>149</v>
      </c>
      <c r="B34" s="116" t="s">
        <v>150</v>
      </c>
      <c r="C34" s="116" t="s">
        <v>25</v>
      </c>
      <c r="D34" s="120" t="s">
        <v>153</v>
      </c>
      <c r="E34" s="145" t="s">
        <v>126</v>
      </c>
      <c r="F34" s="127">
        <f>600000-500000</f>
        <v>100000</v>
      </c>
      <c r="G34" s="127"/>
      <c r="H34" s="128">
        <f t="shared" si="0"/>
        <v>100000</v>
      </c>
    </row>
    <row r="35" spans="1:8" ht="66.75" customHeight="1">
      <c r="A35" s="21" t="s">
        <v>134</v>
      </c>
      <c r="B35" s="21" t="s">
        <v>135</v>
      </c>
      <c r="C35" s="21"/>
      <c r="D35" s="70" t="s">
        <v>136</v>
      </c>
      <c r="E35" s="124" t="s">
        <v>43</v>
      </c>
      <c r="F35" s="28">
        <f>18968400+200000+1000000+4830+460000-154830+311900</f>
        <v>20790300</v>
      </c>
      <c r="G35" s="28">
        <f>500000-500000</f>
        <v>0</v>
      </c>
      <c r="H35" s="100">
        <f t="shared" si="0"/>
        <v>20790300</v>
      </c>
    </row>
    <row r="36" spans="1:8" ht="33.75" customHeight="1">
      <c r="A36" s="125" t="s">
        <v>121</v>
      </c>
      <c r="B36" s="125" t="s">
        <v>94</v>
      </c>
      <c r="C36" s="125" t="s">
        <v>29</v>
      </c>
      <c r="D36" s="126" t="s">
        <v>127</v>
      </c>
      <c r="E36" s="210" t="s">
        <v>43</v>
      </c>
      <c r="F36" s="127">
        <f>831900+4830</f>
        <v>836730</v>
      </c>
      <c r="G36" s="127">
        <f>500000-500000</f>
        <v>0</v>
      </c>
      <c r="H36" s="128">
        <f t="shared" si="0"/>
        <v>836730</v>
      </c>
    </row>
    <row r="37" spans="1:8" ht="36.75" customHeight="1">
      <c r="A37" s="125" t="s">
        <v>120</v>
      </c>
      <c r="B37" s="125" t="s">
        <v>63</v>
      </c>
      <c r="C37" s="125" t="s">
        <v>29</v>
      </c>
      <c r="D37" s="126" t="s">
        <v>20</v>
      </c>
      <c r="E37" s="211"/>
      <c r="F37" s="127">
        <f>2036500+200000+1000000+460000+311900</f>
        <v>4008400</v>
      </c>
      <c r="G37" s="127"/>
      <c r="H37" s="129">
        <f>SUM(F37:G37)</f>
        <v>4008400</v>
      </c>
    </row>
    <row r="38" spans="1:8" ht="45" customHeight="1">
      <c r="A38" s="125" t="s">
        <v>119</v>
      </c>
      <c r="B38" s="125" t="s">
        <v>62</v>
      </c>
      <c r="C38" s="125" t="s">
        <v>29</v>
      </c>
      <c r="D38" s="126" t="s">
        <v>159</v>
      </c>
      <c r="E38" s="211"/>
      <c r="F38" s="127">
        <f>1100000-154830</f>
        <v>945170</v>
      </c>
      <c r="G38" s="127"/>
      <c r="H38" s="128">
        <f>SUM(F38:G38)</f>
        <v>945170</v>
      </c>
    </row>
    <row r="39" spans="1:8" ht="45" customHeight="1">
      <c r="A39" s="125" t="s">
        <v>118</v>
      </c>
      <c r="B39" s="125" t="s">
        <v>61</v>
      </c>
      <c r="C39" s="125" t="s">
        <v>29</v>
      </c>
      <c r="D39" s="126" t="s">
        <v>19</v>
      </c>
      <c r="E39" s="212"/>
      <c r="F39" s="127">
        <v>15000000</v>
      </c>
      <c r="G39" s="127"/>
      <c r="H39" s="128">
        <f t="shared" si="0"/>
        <v>15000000</v>
      </c>
    </row>
    <row r="40" spans="1:8" ht="45" customHeight="1" thickBot="1">
      <c r="A40" s="37" t="s">
        <v>211</v>
      </c>
      <c r="B40" s="37" t="s">
        <v>212</v>
      </c>
      <c r="C40" s="43" t="s">
        <v>112</v>
      </c>
      <c r="D40" s="71" t="s">
        <v>113</v>
      </c>
      <c r="E40" s="47" t="s">
        <v>13</v>
      </c>
      <c r="F40" s="60">
        <v>25000</v>
      </c>
      <c r="G40" s="38"/>
      <c r="H40" s="102">
        <f t="shared" si="0"/>
        <v>25000</v>
      </c>
    </row>
    <row r="41" spans="1:8" ht="17.25" customHeight="1" thickBot="1">
      <c r="A41" s="30" t="s">
        <v>172</v>
      </c>
      <c r="B41" s="39"/>
      <c r="C41" s="40"/>
      <c r="D41" s="72" t="s">
        <v>95</v>
      </c>
      <c r="E41" s="73"/>
      <c r="F41" s="33">
        <f>SUM(F42,F44,F46,F47,F49,F53,F55,F57)</f>
        <v>3477554</v>
      </c>
      <c r="G41" s="33"/>
      <c r="H41" s="104">
        <f t="shared" si="0"/>
        <v>3477554</v>
      </c>
    </row>
    <row r="42" spans="1:8" ht="48.75" customHeight="1">
      <c r="A42" s="48">
        <v>1113130</v>
      </c>
      <c r="B42" s="48">
        <v>3130</v>
      </c>
      <c r="C42" s="34"/>
      <c r="D42" s="69" t="s">
        <v>137</v>
      </c>
      <c r="E42" s="98" t="s">
        <v>12</v>
      </c>
      <c r="F42" s="35">
        <v>500000</v>
      </c>
      <c r="G42" s="130"/>
      <c r="H42" s="99">
        <f t="shared" si="0"/>
        <v>500000</v>
      </c>
    </row>
    <row r="43" spans="1:8" ht="45.75" customHeight="1">
      <c r="A43" s="116" t="s">
        <v>64</v>
      </c>
      <c r="B43" s="116" t="s">
        <v>65</v>
      </c>
      <c r="C43" s="116" t="s">
        <v>31</v>
      </c>
      <c r="D43" s="120" t="s">
        <v>42</v>
      </c>
      <c r="E43" s="131" t="s">
        <v>12</v>
      </c>
      <c r="F43" s="122">
        <v>500000</v>
      </c>
      <c r="G43" s="42"/>
      <c r="H43" s="123">
        <f t="shared" si="0"/>
        <v>500000</v>
      </c>
    </row>
    <row r="44" spans="1:8" ht="45.75" customHeight="1">
      <c r="A44" s="21" t="s">
        <v>160</v>
      </c>
      <c r="B44" s="21" t="s">
        <v>152</v>
      </c>
      <c r="C44" s="21"/>
      <c r="D44" s="74" t="s">
        <v>86</v>
      </c>
      <c r="E44" s="98" t="s">
        <v>12</v>
      </c>
      <c r="F44" s="41">
        <v>149554</v>
      </c>
      <c r="G44" s="42"/>
      <c r="H44" s="99">
        <f t="shared" si="0"/>
        <v>149554</v>
      </c>
    </row>
    <row r="45" spans="1:8" ht="45.75" customHeight="1">
      <c r="A45" s="116" t="s">
        <v>161</v>
      </c>
      <c r="B45" s="116" t="s">
        <v>150</v>
      </c>
      <c r="C45" s="116" t="s">
        <v>25</v>
      </c>
      <c r="D45" s="120" t="s">
        <v>153</v>
      </c>
      <c r="E45" s="131" t="s">
        <v>12</v>
      </c>
      <c r="F45" s="122">
        <v>149554</v>
      </c>
      <c r="G45" s="146"/>
      <c r="H45" s="123">
        <f>SUM(F45:G45)</f>
        <v>149554</v>
      </c>
    </row>
    <row r="46" spans="1:8" ht="65.25" customHeight="1">
      <c r="A46" s="26" t="s">
        <v>67</v>
      </c>
      <c r="B46" s="26" t="s">
        <v>68</v>
      </c>
      <c r="C46" s="26" t="s">
        <v>31</v>
      </c>
      <c r="D46" s="70" t="s">
        <v>21</v>
      </c>
      <c r="E46" s="95" t="s">
        <v>59</v>
      </c>
      <c r="F46" s="28">
        <f>455000-55000</f>
        <v>400000</v>
      </c>
      <c r="G46" s="28"/>
      <c r="H46" s="100">
        <f t="shared" si="0"/>
        <v>400000</v>
      </c>
    </row>
    <row r="47" spans="1:8" ht="42" customHeight="1">
      <c r="A47" s="154" t="s">
        <v>138</v>
      </c>
      <c r="B47" s="154" t="s">
        <v>139</v>
      </c>
      <c r="C47" s="154"/>
      <c r="D47" s="157" t="s">
        <v>129</v>
      </c>
      <c r="E47" s="95" t="s">
        <v>59</v>
      </c>
      <c r="F47" s="28">
        <v>693000</v>
      </c>
      <c r="G47" s="28"/>
      <c r="H47" s="100">
        <f t="shared" si="0"/>
        <v>693000</v>
      </c>
    </row>
    <row r="48" spans="1:8" ht="52.5" customHeight="1">
      <c r="A48" s="125" t="s">
        <v>81</v>
      </c>
      <c r="B48" s="125" t="s">
        <v>82</v>
      </c>
      <c r="C48" s="125" t="s">
        <v>27</v>
      </c>
      <c r="D48" s="117" t="s">
        <v>18</v>
      </c>
      <c r="E48" s="132" t="s">
        <v>59</v>
      </c>
      <c r="F48" s="127">
        <v>693000</v>
      </c>
      <c r="G48" s="127"/>
      <c r="H48" s="128">
        <f t="shared" si="0"/>
        <v>693000</v>
      </c>
    </row>
    <row r="49" spans="1:8" ht="52.5" customHeight="1">
      <c r="A49" s="154" t="s">
        <v>140</v>
      </c>
      <c r="B49" s="154" t="s">
        <v>141</v>
      </c>
      <c r="C49" s="154"/>
      <c r="D49" s="155" t="s">
        <v>142</v>
      </c>
      <c r="E49" s="97" t="s">
        <v>80</v>
      </c>
      <c r="F49" s="28">
        <v>1000000</v>
      </c>
      <c r="G49" s="127"/>
      <c r="H49" s="100">
        <f t="shared" si="0"/>
        <v>1000000</v>
      </c>
    </row>
    <row r="50" spans="1:8" ht="36.75" customHeight="1">
      <c r="A50" s="134">
        <v>1115011</v>
      </c>
      <c r="B50" s="136">
        <v>5011</v>
      </c>
      <c r="C50" s="116" t="s">
        <v>27</v>
      </c>
      <c r="D50" s="117" t="s">
        <v>24</v>
      </c>
      <c r="E50" s="77" t="s">
        <v>80</v>
      </c>
      <c r="F50" s="122">
        <v>200000</v>
      </c>
      <c r="G50" s="122"/>
      <c r="H50" s="123">
        <f t="shared" si="0"/>
        <v>200000</v>
      </c>
    </row>
    <row r="51" spans="1:8" ht="38.25" customHeight="1">
      <c r="A51" s="135">
        <v>1115011</v>
      </c>
      <c r="B51" s="135">
        <v>5011</v>
      </c>
      <c r="C51" s="125" t="s">
        <v>27</v>
      </c>
      <c r="D51" s="133" t="s">
        <v>24</v>
      </c>
      <c r="E51" s="213" t="s">
        <v>35</v>
      </c>
      <c r="F51" s="127">
        <v>500000</v>
      </c>
      <c r="G51" s="127"/>
      <c r="H51" s="128">
        <f t="shared" si="0"/>
        <v>500000</v>
      </c>
    </row>
    <row r="52" spans="1:8" ht="32.25" customHeight="1">
      <c r="A52" s="135">
        <v>1115012</v>
      </c>
      <c r="B52" s="135">
        <v>5012</v>
      </c>
      <c r="C52" s="125" t="s">
        <v>27</v>
      </c>
      <c r="D52" s="133" t="s">
        <v>36</v>
      </c>
      <c r="E52" s="214"/>
      <c r="F52" s="127">
        <v>300000</v>
      </c>
      <c r="G52" s="127"/>
      <c r="H52" s="123">
        <f t="shared" si="0"/>
        <v>300000</v>
      </c>
    </row>
    <row r="53" spans="1:8" ht="32.25" customHeight="1">
      <c r="A53" s="156">
        <v>1115030</v>
      </c>
      <c r="B53" s="156">
        <v>5030</v>
      </c>
      <c r="C53" s="154"/>
      <c r="D53" s="157" t="s">
        <v>129</v>
      </c>
      <c r="E53" s="214"/>
      <c r="F53" s="28">
        <v>585000</v>
      </c>
      <c r="G53" s="127"/>
      <c r="H53" s="99">
        <f t="shared" si="0"/>
        <v>585000</v>
      </c>
    </row>
    <row r="54" spans="1:8" ht="45.75" customHeight="1">
      <c r="A54" s="135">
        <v>1115031</v>
      </c>
      <c r="B54" s="135">
        <v>5031</v>
      </c>
      <c r="C54" s="125" t="s">
        <v>27</v>
      </c>
      <c r="D54" s="117" t="s">
        <v>18</v>
      </c>
      <c r="E54" s="214"/>
      <c r="F54" s="127">
        <v>585000</v>
      </c>
      <c r="G54" s="127"/>
      <c r="H54" s="128">
        <f t="shared" si="0"/>
        <v>585000</v>
      </c>
    </row>
    <row r="55" spans="1:8" ht="45.75" customHeight="1">
      <c r="A55" s="156">
        <v>1115060</v>
      </c>
      <c r="B55" s="156">
        <v>5060</v>
      </c>
      <c r="C55" s="154"/>
      <c r="D55" s="157" t="s">
        <v>143</v>
      </c>
      <c r="E55" s="214"/>
      <c r="F55" s="28">
        <v>100000</v>
      </c>
      <c r="G55" s="28"/>
      <c r="H55" s="99">
        <f t="shared" si="0"/>
        <v>100000</v>
      </c>
    </row>
    <row r="56" spans="1:8" ht="43.5" customHeight="1">
      <c r="A56" s="135">
        <v>1115061</v>
      </c>
      <c r="B56" s="135">
        <v>5061</v>
      </c>
      <c r="C56" s="125" t="s">
        <v>27</v>
      </c>
      <c r="D56" s="133" t="s">
        <v>44</v>
      </c>
      <c r="E56" s="214"/>
      <c r="F56" s="127">
        <v>100000</v>
      </c>
      <c r="G56" s="127"/>
      <c r="H56" s="123">
        <f t="shared" si="0"/>
        <v>100000</v>
      </c>
    </row>
    <row r="57" spans="1:8" ht="43.5" customHeight="1">
      <c r="A57" s="158">
        <v>1115020</v>
      </c>
      <c r="B57" s="158">
        <v>5020</v>
      </c>
      <c r="C57" s="159"/>
      <c r="D57" s="155" t="s">
        <v>144</v>
      </c>
      <c r="E57" s="214"/>
      <c r="F57" s="41">
        <v>50000</v>
      </c>
      <c r="G57" s="41"/>
      <c r="H57" s="100">
        <f t="shared" si="0"/>
        <v>50000</v>
      </c>
    </row>
    <row r="58" spans="1:8" ht="48.75" customHeight="1" thickBot="1">
      <c r="A58" s="137">
        <v>1115022</v>
      </c>
      <c r="B58" s="136">
        <v>5022</v>
      </c>
      <c r="C58" s="116" t="s">
        <v>27</v>
      </c>
      <c r="D58" s="133" t="s">
        <v>163</v>
      </c>
      <c r="E58" s="215"/>
      <c r="F58" s="122">
        <v>50000</v>
      </c>
      <c r="G58" s="122"/>
      <c r="H58" s="129">
        <f t="shared" si="0"/>
        <v>50000</v>
      </c>
    </row>
    <row r="59" spans="1:8" ht="20.25" customHeight="1" thickBot="1">
      <c r="A59" s="165" t="s">
        <v>173</v>
      </c>
      <c r="B59" s="40"/>
      <c r="C59" s="40"/>
      <c r="D59" s="72" t="s">
        <v>9</v>
      </c>
      <c r="E59" s="57"/>
      <c r="F59" s="33">
        <f>SUM(F60,F62)</f>
        <v>280000</v>
      </c>
      <c r="G59" s="46"/>
      <c r="H59" s="104">
        <f t="shared" si="0"/>
        <v>280000</v>
      </c>
    </row>
    <row r="60" spans="1:8" ht="63.75" customHeight="1">
      <c r="A60" s="138" t="s">
        <v>145</v>
      </c>
      <c r="B60" s="34" t="s">
        <v>146</v>
      </c>
      <c r="C60" s="34"/>
      <c r="D60" s="69" t="s">
        <v>147</v>
      </c>
      <c r="E60" s="77" t="s">
        <v>125</v>
      </c>
      <c r="F60" s="35">
        <v>80000</v>
      </c>
      <c r="G60" s="35"/>
      <c r="H60" s="99">
        <f>SUM(F60:G60)</f>
        <v>80000</v>
      </c>
    </row>
    <row r="61" spans="1:8" ht="61.5" customHeight="1">
      <c r="A61" s="116" t="s">
        <v>122</v>
      </c>
      <c r="B61" s="116" t="s">
        <v>17</v>
      </c>
      <c r="C61" s="116" t="s">
        <v>31</v>
      </c>
      <c r="D61" s="139" t="s">
        <v>22</v>
      </c>
      <c r="E61" s="121" t="s">
        <v>125</v>
      </c>
      <c r="F61" s="122">
        <v>80000</v>
      </c>
      <c r="G61" s="122"/>
      <c r="H61" s="123">
        <f>SUM(F61:G61)</f>
        <v>80000</v>
      </c>
    </row>
    <row r="62" spans="1:8" ht="64.5" customHeight="1" thickBot="1">
      <c r="A62" s="37" t="s">
        <v>123</v>
      </c>
      <c r="B62" s="37" t="s">
        <v>68</v>
      </c>
      <c r="C62" s="37" t="s">
        <v>31</v>
      </c>
      <c r="D62" s="70" t="s">
        <v>21</v>
      </c>
      <c r="E62" s="93" t="s">
        <v>59</v>
      </c>
      <c r="F62" s="38">
        <v>200000</v>
      </c>
      <c r="G62" s="38"/>
      <c r="H62" s="102">
        <f>SUM(F62:G62)</f>
        <v>200000</v>
      </c>
    </row>
    <row r="63" spans="1:8" ht="19.5" customHeight="1" thickBot="1">
      <c r="A63" s="165" t="s">
        <v>174</v>
      </c>
      <c r="B63" s="40"/>
      <c r="C63" s="40"/>
      <c r="D63" s="72" t="s">
        <v>37</v>
      </c>
      <c r="E63" s="45"/>
      <c r="F63" s="33">
        <f>1000000+216000+110238+1230000</f>
        <v>2556238</v>
      </c>
      <c r="G63" s="33">
        <f>5067124+1209233-415424-75000</f>
        <v>5785933</v>
      </c>
      <c r="H63" s="104">
        <f>SUM(F63:G63)</f>
        <v>8342171</v>
      </c>
    </row>
    <row r="64" spans="1:8" ht="78" customHeight="1">
      <c r="A64" s="34" t="s">
        <v>69</v>
      </c>
      <c r="B64" s="34" t="s">
        <v>70</v>
      </c>
      <c r="C64" s="34" t="s">
        <v>71</v>
      </c>
      <c r="D64" s="69" t="s">
        <v>72</v>
      </c>
      <c r="E64" s="50" t="s">
        <v>73</v>
      </c>
      <c r="F64" s="174">
        <f>1000000+216000+110238+1230000</f>
        <v>2556238</v>
      </c>
      <c r="G64" s="174"/>
      <c r="H64" s="103">
        <f>1000000+216000+110238+1230000</f>
        <v>2556238</v>
      </c>
    </row>
    <row r="65" spans="1:8" ht="33.75" customHeight="1">
      <c r="A65" s="21" t="s">
        <v>204</v>
      </c>
      <c r="B65" s="21" t="s">
        <v>205</v>
      </c>
      <c r="C65" s="21" t="s">
        <v>48</v>
      </c>
      <c r="D65" s="74" t="s">
        <v>206</v>
      </c>
      <c r="E65" s="53" t="s">
        <v>46</v>
      </c>
      <c r="F65" s="41"/>
      <c r="G65" s="41">
        <f>415424+700000-415424-75000</f>
        <v>625000</v>
      </c>
      <c r="H65" s="99">
        <f>1115424-415424-75000</f>
        <v>625000</v>
      </c>
    </row>
    <row r="66" spans="1:8" ht="62.25" customHeight="1">
      <c r="A66" s="26" t="s">
        <v>189</v>
      </c>
      <c r="B66" s="26" t="s">
        <v>190</v>
      </c>
      <c r="C66" s="26"/>
      <c r="D66" s="70" t="s">
        <v>195</v>
      </c>
      <c r="E66" s="132" t="s">
        <v>184</v>
      </c>
      <c r="F66" s="28"/>
      <c r="G66" s="28"/>
      <c r="H66" s="29"/>
    </row>
    <row r="67" spans="1:8" ht="38.25" customHeight="1">
      <c r="A67" s="125" t="s">
        <v>191</v>
      </c>
      <c r="B67" s="125" t="s">
        <v>193</v>
      </c>
      <c r="C67" s="125" t="s">
        <v>181</v>
      </c>
      <c r="D67" s="126" t="s">
        <v>196</v>
      </c>
      <c r="E67" s="216" t="s">
        <v>184</v>
      </c>
      <c r="F67" s="127">
        <v>5000000</v>
      </c>
      <c r="G67" s="127"/>
      <c r="H67" s="127">
        <v>5000000</v>
      </c>
    </row>
    <row r="68" spans="1:8" ht="32.25" customHeight="1">
      <c r="A68" s="125" t="s">
        <v>192</v>
      </c>
      <c r="B68" s="125" t="s">
        <v>194</v>
      </c>
      <c r="C68" s="125" t="s">
        <v>181</v>
      </c>
      <c r="D68" s="126" t="s">
        <v>197</v>
      </c>
      <c r="E68" s="217"/>
      <c r="F68" s="127">
        <v>-5000000</v>
      </c>
      <c r="G68" s="127"/>
      <c r="H68" s="127">
        <v>-5000000</v>
      </c>
    </row>
    <row r="69" spans="1:8" ht="63.75" customHeight="1">
      <c r="A69" s="37" t="s">
        <v>201</v>
      </c>
      <c r="B69" s="37" t="s">
        <v>199</v>
      </c>
      <c r="C69" s="37" t="s">
        <v>181</v>
      </c>
      <c r="D69" s="71" t="s">
        <v>200</v>
      </c>
      <c r="E69" s="95" t="s">
        <v>184</v>
      </c>
      <c r="F69" s="169"/>
      <c r="G69" s="38">
        <v>1100000</v>
      </c>
      <c r="H69" s="38">
        <v>1100000</v>
      </c>
    </row>
    <row r="70" spans="1:8" ht="46.5" customHeight="1" thickBot="1">
      <c r="A70" s="43" t="s">
        <v>213</v>
      </c>
      <c r="B70" s="43" t="s">
        <v>214</v>
      </c>
      <c r="C70" s="43" t="s">
        <v>33</v>
      </c>
      <c r="D70" s="75" t="s">
        <v>74</v>
      </c>
      <c r="E70" s="93" t="s">
        <v>34</v>
      </c>
      <c r="F70" s="44"/>
      <c r="G70" s="111">
        <f>1469700+1382000+1209233</f>
        <v>4060933</v>
      </c>
      <c r="H70" s="106">
        <f>1469700+1382000+1209233</f>
        <v>4060933</v>
      </c>
    </row>
    <row r="71" spans="1:8" ht="21" customHeight="1" thickBot="1">
      <c r="A71" s="30" t="s">
        <v>175</v>
      </c>
      <c r="B71" s="17"/>
      <c r="C71" s="30"/>
      <c r="D71" s="78" t="s">
        <v>10</v>
      </c>
      <c r="E71" s="79"/>
      <c r="F71" s="33">
        <f>SUM(F72:F78,F81:F87)</f>
        <v>2126987</v>
      </c>
      <c r="G71" s="33">
        <f>SUM(G72:G78,G80:G87)</f>
        <v>5406700</v>
      </c>
      <c r="H71" s="33">
        <f>SUM(H72:H78,H80:H87)</f>
        <v>7533687</v>
      </c>
    </row>
    <row r="72" spans="1:8" ht="31.5">
      <c r="A72" s="34" t="s">
        <v>75</v>
      </c>
      <c r="B72" s="48">
        <v>7610</v>
      </c>
      <c r="C72" s="34" t="s">
        <v>32</v>
      </c>
      <c r="D72" s="80" t="s">
        <v>23</v>
      </c>
      <c r="E72" s="50" t="s">
        <v>52</v>
      </c>
      <c r="F72" s="51">
        <f>155000+90000</f>
        <v>245000</v>
      </c>
      <c r="G72" s="51"/>
      <c r="H72" s="103">
        <f>SUM(F72:G72)</f>
        <v>245000</v>
      </c>
    </row>
    <row r="73" spans="1:8" ht="30">
      <c r="A73" s="21" t="s">
        <v>100</v>
      </c>
      <c r="B73" s="52">
        <v>7130</v>
      </c>
      <c r="C73" s="21" t="s">
        <v>101</v>
      </c>
      <c r="D73" s="76" t="s">
        <v>102</v>
      </c>
      <c r="E73" s="53" t="s">
        <v>45</v>
      </c>
      <c r="F73" s="54"/>
      <c r="G73" s="54">
        <f>2600000-350000-250000-1600000</f>
        <v>400000</v>
      </c>
      <c r="H73" s="99">
        <f>2600000-350000-250000-1600000</f>
        <v>400000</v>
      </c>
    </row>
    <row r="74" spans="1:8" ht="47.25">
      <c r="A74" s="21" t="s">
        <v>90</v>
      </c>
      <c r="B74" s="21" t="s">
        <v>91</v>
      </c>
      <c r="C74" s="21" t="s">
        <v>48</v>
      </c>
      <c r="D74" s="74" t="s">
        <v>83</v>
      </c>
      <c r="E74" s="53" t="s">
        <v>40</v>
      </c>
      <c r="F74" s="41">
        <f>1280000-1280000</f>
        <v>0</v>
      </c>
      <c r="G74" s="41">
        <f>3190000-117000+350000-370000</f>
        <v>3053000</v>
      </c>
      <c r="H74" s="99">
        <f>SUM(F74:G74)</f>
        <v>3053000</v>
      </c>
    </row>
    <row r="75" spans="1:8" ht="43.5" customHeight="1">
      <c r="A75" s="21" t="s">
        <v>103</v>
      </c>
      <c r="B75" s="21" t="s">
        <v>104</v>
      </c>
      <c r="C75" s="21" t="s">
        <v>105</v>
      </c>
      <c r="D75" s="74" t="s">
        <v>106</v>
      </c>
      <c r="E75" s="53" t="s">
        <v>66</v>
      </c>
      <c r="F75" s="41">
        <f>300000+56300</f>
        <v>356300</v>
      </c>
      <c r="G75" s="41">
        <v>303700</v>
      </c>
      <c r="H75" s="99">
        <f>300000+360000</f>
        <v>660000</v>
      </c>
    </row>
    <row r="76" spans="1:8" ht="33.75" customHeight="1">
      <c r="A76" s="21" t="s">
        <v>100</v>
      </c>
      <c r="B76" s="52">
        <v>7130</v>
      </c>
      <c r="C76" s="21" t="s">
        <v>101</v>
      </c>
      <c r="D76" s="76" t="s">
        <v>102</v>
      </c>
      <c r="E76" s="53" t="s">
        <v>16</v>
      </c>
      <c r="F76" s="54"/>
      <c r="G76" s="54">
        <v>300000</v>
      </c>
      <c r="H76" s="100">
        <f>SUM(F76:G76)</f>
        <v>300000</v>
      </c>
    </row>
    <row r="77" spans="1:8" ht="33.75" customHeight="1">
      <c r="A77" s="21" t="s">
        <v>107</v>
      </c>
      <c r="B77" s="52">
        <v>7640</v>
      </c>
      <c r="C77" s="21" t="s">
        <v>108</v>
      </c>
      <c r="D77" s="70" t="s">
        <v>109</v>
      </c>
      <c r="E77" s="53" t="s">
        <v>41</v>
      </c>
      <c r="F77" s="54">
        <v>60000</v>
      </c>
      <c r="G77" s="54"/>
      <c r="H77" s="100">
        <v>60000</v>
      </c>
    </row>
    <row r="78" spans="1:8" ht="67.5" customHeight="1">
      <c r="A78" s="26" t="s">
        <v>185</v>
      </c>
      <c r="B78" s="26" t="s">
        <v>179</v>
      </c>
      <c r="C78" s="26"/>
      <c r="D78" s="70" t="s">
        <v>182</v>
      </c>
      <c r="E78" s="132" t="s">
        <v>184</v>
      </c>
      <c r="F78" s="54">
        <v>700000</v>
      </c>
      <c r="G78" s="54"/>
      <c r="H78" s="171">
        <v>700000</v>
      </c>
    </row>
    <row r="79" spans="1:8" ht="68.25" customHeight="1">
      <c r="A79" s="125" t="s">
        <v>186</v>
      </c>
      <c r="B79" s="125" t="s">
        <v>180</v>
      </c>
      <c r="C79" s="125" t="s">
        <v>181</v>
      </c>
      <c r="D79" s="126" t="s">
        <v>183</v>
      </c>
      <c r="E79" s="132" t="s">
        <v>184</v>
      </c>
      <c r="F79" s="170">
        <v>700000</v>
      </c>
      <c r="G79" s="54"/>
      <c r="H79" s="170">
        <v>700000</v>
      </c>
    </row>
    <row r="80" spans="1:8" ht="68.25" customHeight="1">
      <c r="A80" s="21" t="s">
        <v>198</v>
      </c>
      <c r="B80" s="21" t="s">
        <v>199</v>
      </c>
      <c r="C80" s="21" t="s">
        <v>181</v>
      </c>
      <c r="D80" s="71" t="s">
        <v>200</v>
      </c>
      <c r="E80" s="132" t="s">
        <v>184</v>
      </c>
      <c r="F80" s="54"/>
      <c r="G80" s="54">
        <v>1350000</v>
      </c>
      <c r="H80" s="54">
        <v>1350000</v>
      </c>
    </row>
    <row r="81" spans="1:8" ht="33.75" customHeight="1">
      <c r="A81" s="21" t="s">
        <v>110</v>
      </c>
      <c r="B81" s="52">
        <v>7530</v>
      </c>
      <c r="C81" s="21" t="s">
        <v>111</v>
      </c>
      <c r="D81" s="70" t="s">
        <v>114</v>
      </c>
      <c r="E81" s="53" t="s">
        <v>46</v>
      </c>
      <c r="F81" s="54">
        <v>100000</v>
      </c>
      <c r="G81" s="54"/>
      <c r="H81" s="100">
        <v>100000</v>
      </c>
    </row>
    <row r="82" spans="1:8" ht="33.75" customHeight="1">
      <c r="A82" s="21" t="s">
        <v>110</v>
      </c>
      <c r="B82" s="52">
        <v>7530</v>
      </c>
      <c r="C82" s="21" t="s">
        <v>111</v>
      </c>
      <c r="D82" s="70" t="s">
        <v>114</v>
      </c>
      <c r="E82" s="53" t="s">
        <v>47</v>
      </c>
      <c r="F82" s="54">
        <f>100000-90000</f>
        <v>10000</v>
      </c>
      <c r="G82" s="54"/>
      <c r="H82" s="100">
        <v>10000</v>
      </c>
    </row>
    <row r="83" spans="1:8" ht="34.5" customHeight="1">
      <c r="A83" s="62" t="s">
        <v>115</v>
      </c>
      <c r="B83" s="160">
        <v>4080</v>
      </c>
      <c r="C83" s="62" t="s">
        <v>78</v>
      </c>
      <c r="D83" s="163" t="s">
        <v>92</v>
      </c>
      <c r="E83" s="162"/>
      <c r="F83" s="162"/>
      <c r="G83" s="162"/>
      <c r="H83" s="162"/>
    </row>
    <row r="84" spans="1:8" ht="61.5" customHeight="1">
      <c r="A84" s="26" t="s">
        <v>168</v>
      </c>
      <c r="B84" s="55">
        <v>4082</v>
      </c>
      <c r="C84" s="26" t="s">
        <v>78</v>
      </c>
      <c r="D84" s="76" t="s">
        <v>169</v>
      </c>
      <c r="E84" s="77" t="s">
        <v>76</v>
      </c>
      <c r="F84" s="41">
        <v>555687</v>
      </c>
      <c r="G84" s="41"/>
      <c r="H84" s="99">
        <f>SUM(F84:G84)</f>
        <v>555687</v>
      </c>
    </row>
    <row r="85" spans="1:8" ht="27.75" customHeight="1">
      <c r="A85" s="159" t="s">
        <v>165</v>
      </c>
      <c r="B85" s="156">
        <v>3240</v>
      </c>
      <c r="C85" s="159" t="s">
        <v>25</v>
      </c>
      <c r="D85" s="161" t="s">
        <v>86</v>
      </c>
      <c r="E85" s="77"/>
      <c r="F85" s="28"/>
      <c r="G85" s="28"/>
      <c r="H85" s="100"/>
    </row>
    <row r="86" spans="1:8" ht="45.75" customHeight="1">
      <c r="A86" s="21" t="s">
        <v>166</v>
      </c>
      <c r="B86" s="55">
        <v>3242</v>
      </c>
      <c r="C86" s="21" t="s">
        <v>25</v>
      </c>
      <c r="D86" s="74" t="s">
        <v>167</v>
      </c>
      <c r="E86" s="81" t="s">
        <v>77</v>
      </c>
      <c r="F86" s="28">
        <v>100000</v>
      </c>
      <c r="G86" s="28"/>
      <c r="H86" s="100">
        <f>SUM(F86:G86)</f>
        <v>100000</v>
      </c>
    </row>
    <row r="87" spans="1:8" ht="36" customHeight="1" thickBot="1">
      <c r="A87" s="21" t="s">
        <v>164</v>
      </c>
      <c r="B87" s="56">
        <v>3210</v>
      </c>
      <c r="C87" s="43" t="s">
        <v>112</v>
      </c>
      <c r="D87" s="71" t="s">
        <v>113</v>
      </c>
      <c r="E87" s="47" t="s">
        <v>13</v>
      </c>
      <c r="F87" s="44">
        <f>25000-25000</f>
        <v>0</v>
      </c>
      <c r="G87" s="44"/>
      <c r="H87" s="100">
        <f>SUM(F87:G87)</f>
        <v>0</v>
      </c>
    </row>
    <row r="88" spans="1:8" ht="18" customHeight="1" thickBot="1">
      <c r="A88" s="166">
        <v>1000000</v>
      </c>
      <c r="B88" s="39"/>
      <c r="C88" s="30"/>
      <c r="D88" s="78" t="s">
        <v>38</v>
      </c>
      <c r="E88" s="57"/>
      <c r="F88" s="33">
        <f>SUM(F89:F89)</f>
        <v>1400000</v>
      </c>
      <c r="G88" s="89">
        <v>200000</v>
      </c>
      <c r="H88" s="104">
        <f>SUM(F88:G88)</f>
        <v>1600000</v>
      </c>
    </row>
    <row r="89" spans="1:8" ht="40.5" customHeight="1">
      <c r="A89" s="48">
        <v>1014082</v>
      </c>
      <c r="B89" s="48">
        <v>4082</v>
      </c>
      <c r="C89" s="34" t="s">
        <v>78</v>
      </c>
      <c r="D89" s="80" t="s">
        <v>92</v>
      </c>
      <c r="E89" s="173" t="s">
        <v>79</v>
      </c>
      <c r="F89" s="174">
        <v>1400000</v>
      </c>
      <c r="G89" s="174"/>
      <c r="H89" s="103">
        <f>SUM(F89:G89)</f>
        <v>1400000</v>
      </c>
    </row>
    <row r="90" spans="1:8" ht="40.5" customHeight="1" thickBot="1">
      <c r="A90" s="179">
        <v>1014030</v>
      </c>
      <c r="B90" s="56">
        <v>4030</v>
      </c>
      <c r="C90" s="43" t="s">
        <v>202</v>
      </c>
      <c r="D90" s="180" t="s">
        <v>203</v>
      </c>
      <c r="E90" s="93" t="s">
        <v>46</v>
      </c>
      <c r="F90" s="181"/>
      <c r="G90" s="181">
        <v>200000</v>
      </c>
      <c r="H90" s="106">
        <v>200000</v>
      </c>
    </row>
    <row r="91" spans="1:8" ht="40.5" customHeight="1" thickBot="1">
      <c r="A91" s="186">
        <v>1500000</v>
      </c>
      <c r="B91" s="182"/>
      <c r="C91" s="183"/>
      <c r="D91" s="187" t="s">
        <v>207</v>
      </c>
      <c r="E91" s="184"/>
      <c r="F91" s="185"/>
      <c r="G91" s="189">
        <f>4298006+174125+345425</f>
        <v>4817556</v>
      </c>
      <c r="H91" s="189">
        <f>4298006+174125+345425</f>
        <v>4817556</v>
      </c>
    </row>
    <row r="92" spans="1:8" ht="76.5" customHeight="1">
      <c r="A92" s="188">
        <v>1511020</v>
      </c>
      <c r="B92" s="48">
        <v>1020</v>
      </c>
      <c r="C92" s="34" t="s">
        <v>28</v>
      </c>
      <c r="D92" s="27" t="s">
        <v>58</v>
      </c>
      <c r="E92" s="218" t="s">
        <v>46</v>
      </c>
      <c r="F92" s="174"/>
      <c r="G92" s="190">
        <f>123150+146556</f>
        <v>269706</v>
      </c>
      <c r="H92" s="191">
        <f>123150+146556</f>
        <v>269706</v>
      </c>
    </row>
    <row r="93" spans="1:8" ht="40.5" customHeight="1">
      <c r="A93" s="156">
        <v>1517320</v>
      </c>
      <c r="B93" s="156">
        <v>7320</v>
      </c>
      <c r="C93" s="154"/>
      <c r="D93" s="163" t="s">
        <v>208</v>
      </c>
      <c r="E93" s="219"/>
      <c r="F93" s="178"/>
      <c r="G93" s="178"/>
      <c r="H93" s="100"/>
    </row>
    <row r="94" spans="1:8" ht="40.5" customHeight="1">
      <c r="A94" s="55">
        <v>1517323</v>
      </c>
      <c r="B94" s="55">
        <v>7323</v>
      </c>
      <c r="C94" s="26" t="s">
        <v>48</v>
      </c>
      <c r="D94" s="177" t="s">
        <v>209</v>
      </c>
      <c r="E94" s="219"/>
      <c r="F94" s="178"/>
      <c r="G94" s="178">
        <f>1420875+174125+26975</f>
        <v>1621975</v>
      </c>
      <c r="H94" s="201">
        <f>1420875+174125+26975</f>
        <v>1621975</v>
      </c>
    </row>
    <row r="95" spans="1:8" ht="40.5" customHeight="1" thickBot="1">
      <c r="A95" s="55">
        <v>1517325</v>
      </c>
      <c r="B95" s="55">
        <v>7325</v>
      </c>
      <c r="C95" s="26" t="s">
        <v>48</v>
      </c>
      <c r="D95" s="177" t="s">
        <v>210</v>
      </c>
      <c r="E95" s="217"/>
      <c r="F95" s="178"/>
      <c r="G95" s="178">
        <f>2607425+345425-95000</f>
        <v>2857850</v>
      </c>
      <c r="H95" s="201">
        <f>2607425+245425-95000</f>
        <v>2757850</v>
      </c>
    </row>
    <row r="96" spans="1:8" ht="30" customHeight="1" thickBot="1">
      <c r="A96" s="167">
        <v>1600000</v>
      </c>
      <c r="B96" s="84"/>
      <c r="C96" s="107"/>
      <c r="D96" s="109" t="s">
        <v>97</v>
      </c>
      <c r="E96" s="108"/>
      <c r="F96" s="91"/>
      <c r="G96" s="91">
        <f>1539100+2220500-750000-300000</f>
        <v>2709600</v>
      </c>
      <c r="H96" s="101">
        <f>SUM(F96:G96)</f>
        <v>2709600</v>
      </c>
    </row>
    <row r="97" spans="1:8" ht="47.25" customHeight="1">
      <c r="A97" s="90">
        <v>1617330</v>
      </c>
      <c r="B97" s="84">
        <v>7330</v>
      </c>
      <c r="C97" s="85" t="s">
        <v>48</v>
      </c>
      <c r="D97" s="74" t="s">
        <v>83</v>
      </c>
      <c r="E97" s="173" t="s">
        <v>98</v>
      </c>
      <c r="F97" s="174"/>
      <c r="G97" s="174">
        <f>300000-300000</f>
        <v>0</v>
      </c>
      <c r="H97" s="103">
        <f>300000-300000</f>
        <v>0</v>
      </c>
    </row>
    <row r="98" spans="1:8" ht="51" customHeight="1">
      <c r="A98" s="55">
        <v>1617350</v>
      </c>
      <c r="B98" s="55">
        <v>7350</v>
      </c>
      <c r="C98" s="26" t="s">
        <v>48</v>
      </c>
      <c r="D98" s="76" t="s">
        <v>89</v>
      </c>
      <c r="E98" s="110" t="s">
        <v>187</v>
      </c>
      <c r="F98" s="178"/>
      <c r="G98" s="178">
        <f>1019600+140500+2004500-750000</f>
        <v>2414600</v>
      </c>
      <c r="H98" s="178">
        <f>1019600+140500+2004500-750000</f>
        <v>2414600</v>
      </c>
    </row>
    <row r="99" spans="1:8" ht="40.5" customHeight="1" thickBot="1">
      <c r="A99" s="92">
        <v>1617350</v>
      </c>
      <c r="B99" s="59">
        <v>7350</v>
      </c>
      <c r="C99" s="37" t="s">
        <v>48</v>
      </c>
      <c r="D99" s="76" t="s">
        <v>89</v>
      </c>
      <c r="E99" s="97" t="s">
        <v>99</v>
      </c>
      <c r="F99" s="60"/>
      <c r="G99" s="60">
        <f>79000+216000</f>
        <v>295000</v>
      </c>
      <c r="H99" s="192">
        <f>79000+216000</f>
        <v>295000</v>
      </c>
    </row>
    <row r="100" spans="1:8" s="68" customFormat="1" ht="16.5" customHeight="1" thickBot="1">
      <c r="A100" s="168">
        <v>2900000</v>
      </c>
      <c r="B100" s="86"/>
      <c r="C100" s="87"/>
      <c r="D100" s="78" t="s">
        <v>50</v>
      </c>
      <c r="E100" s="88"/>
      <c r="F100" s="58"/>
      <c r="G100" s="89">
        <v>140000</v>
      </c>
      <c r="H100" s="172">
        <v>140000</v>
      </c>
    </row>
    <row r="101" spans="1:8" s="68" customFormat="1" ht="48" customHeight="1" thickBot="1">
      <c r="A101" s="61">
        <v>2917330</v>
      </c>
      <c r="B101" s="61">
        <v>7330</v>
      </c>
      <c r="C101" s="36" t="s">
        <v>48</v>
      </c>
      <c r="D101" s="74" t="s">
        <v>83</v>
      </c>
      <c r="E101" s="94" t="s">
        <v>51</v>
      </c>
      <c r="F101" s="60"/>
      <c r="G101" s="82">
        <v>140000</v>
      </c>
      <c r="H101" s="105">
        <v>140000</v>
      </c>
    </row>
    <row r="102" spans="1:8" ht="16.5" thickBot="1">
      <c r="A102" s="30" t="s">
        <v>176</v>
      </c>
      <c r="B102" s="39"/>
      <c r="C102" s="30"/>
      <c r="D102" s="31" t="s">
        <v>11</v>
      </c>
      <c r="E102" s="79"/>
      <c r="F102" s="33">
        <f>1500000+700000+500000+600000+167262+198844+135000+100000</f>
        <v>3901106</v>
      </c>
      <c r="G102" s="46"/>
      <c r="H102" s="33">
        <f>1500000+700000+500000+600000+167262+198844+135000+100000</f>
        <v>3901106</v>
      </c>
    </row>
    <row r="103" spans="1:8" ht="31.5">
      <c r="A103" s="34" t="s">
        <v>162</v>
      </c>
      <c r="B103" s="48">
        <v>2140</v>
      </c>
      <c r="C103" s="141"/>
      <c r="D103" s="49" t="s">
        <v>148</v>
      </c>
      <c r="E103" s="140" t="s">
        <v>85</v>
      </c>
      <c r="F103" s="130">
        <f>1500000+500000+600000+167262</f>
        <v>2767262</v>
      </c>
      <c r="G103" s="35"/>
      <c r="H103" s="103">
        <f>1500000+500000+600000+167262</f>
        <v>2767262</v>
      </c>
    </row>
    <row r="104" spans="1:8" ht="31.5">
      <c r="A104" s="116" t="s">
        <v>124</v>
      </c>
      <c r="B104" s="136">
        <v>2144</v>
      </c>
      <c r="C104" s="116" t="s">
        <v>49</v>
      </c>
      <c r="D104" s="117" t="s">
        <v>84</v>
      </c>
      <c r="E104" s="142" t="s">
        <v>85</v>
      </c>
      <c r="F104" s="122">
        <f>1500000+500000+600000+167262</f>
        <v>2767262</v>
      </c>
      <c r="G104" s="122"/>
      <c r="H104" s="123">
        <f>SUM(F104:G104)</f>
        <v>2767262</v>
      </c>
    </row>
    <row r="105" spans="1:8" ht="45">
      <c r="A105" s="26" t="s">
        <v>216</v>
      </c>
      <c r="B105" s="55">
        <v>2150</v>
      </c>
      <c r="C105" s="26"/>
      <c r="D105" s="202" t="s">
        <v>217</v>
      </c>
      <c r="E105" s="199" t="s">
        <v>220</v>
      </c>
      <c r="F105" s="28">
        <f>700000+135000+198844+100000</f>
        <v>1133844</v>
      </c>
      <c r="G105" s="28"/>
      <c r="H105" s="28">
        <f>700000+135000+198844+100000</f>
        <v>1133844</v>
      </c>
    </row>
    <row r="106" spans="1:8" ht="66.75" customHeight="1">
      <c r="A106" s="194" t="s">
        <v>218</v>
      </c>
      <c r="B106" s="193">
        <v>2152</v>
      </c>
      <c r="C106" s="194" t="s">
        <v>49</v>
      </c>
      <c r="D106" s="195" t="s">
        <v>219</v>
      </c>
      <c r="E106" s="203" t="s">
        <v>223</v>
      </c>
      <c r="F106" s="41">
        <f>198844+135000+100000</f>
        <v>433844</v>
      </c>
      <c r="G106" s="41"/>
      <c r="H106" s="41">
        <f>198844+135000+100000</f>
        <v>433844</v>
      </c>
    </row>
    <row r="107" spans="1:8" ht="48" thickBot="1">
      <c r="A107" s="194" t="s">
        <v>218</v>
      </c>
      <c r="B107" s="193">
        <v>2152</v>
      </c>
      <c r="C107" s="194" t="s">
        <v>49</v>
      </c>
      <c r="D107" s="195" t="s">
        <v>219</v>
      </c>
      <c r="E107" s="198" t="s">
        <v>220</v>
      </c>
      <c r="F107" s="196">
        <v>700000</v>
      </c>
      <c r="G107" s="196"/>
      <c r="H107" s="197">
        <v>700000</v>
      </c>
    </row>
    <row r="108" spans="1:8" ht="23.25" customHeight="1" thickBot="1">
      <c r="A108" s="9"/>
      <c r="B108" s="9"/>
      <c r="C108" s="10"/>
      <c r="D108" s="8" t="s">
        <v>3</v>
      </c>
      <c r="E108" s="11"/>
      <c r="F108" s="12">
        <f>SUM(F12,F20,F41,F59,F63,F71,F88,F91,F96,F100,F102)</f>
        <v>44512077</v>
      </c>
      <c r="G108" s="12">
        <f>SUM(G12,G20,G41,G59,G63,G71,G88,G91,G96,G100,G102)</f>
        <v>19844153</v>
      </c>
      <c r="H108" s="12">
        <f>SUM(H12,H20,H41,H59,H63,H71,H88,H91,H96,H100,H102)</f>
        <v>64356230</v>
      </c>
    </row>
    <row r="109" spans="1:8" ht="15.75">
      <c r="A109" s="63"/>
      <c r="B109" s="63"/>
      <c r="C109" s="64"/>
      <c r="D109" s="65"/>
      <c r="E109" s="66"/>
      <c r="F109" s="67"/>
      <c r="G109" s="67"/>
      <c r="H109" s="67"/>
    </row>
    <row r="110" spans="1:8" ht="15.75">
      <c r="A110" s="63"/>
      <c r="B110" s="63"/>
      <c r="C110" s="64"/>
      <c r="D110" s="65"/>
      <c r="E110" s="66"/>
      <c r="F110" s="67"/>
      <c r="G110" s="67"/>
      <c r="H110" s="67"/>
    </row>
    <row r="111" spans="1:8" ht="12.75">
      <c r="A111" s="220" t="s">
        <v>178</v>
      </c>
      <c r="B111" s="221"/>
      <c r="C111" s="221"/>
      <c r="D111" s="221"/>
      <c r="E111" s="221"/>
      <c r="F111" s="221"/>
      <c r="G111" s="221"/>
      <c r="H111" s="221"/>
    </row>
  </sheetData>
  <sheetProtection/>
  <mergeCells count="12">
    <mergeCell ref="E30:E32"/>
    <mergeCell ref="E36:E39"/>
    <mergeCell ref="E51:E58"/>
    <mergeCell ref="E67:E68"/>
    <mergeCell ref="E92:E95"/>
    <mergeCell ref="A111:H111"/>
    <mergeCell ref="F3:H3"/>
    <mergeCell ref="F4:H4"/>
    <mergeCell ref="F5:H5"/>
    <mergeCell ref="F6:H6"/>
    <mergeCell ref="F7:H7"/>
    <mergeCell ref="A8:H8"/>
  </mergeCells>
  <printOptions/>
  <pageMargins left="0.5" right="0.4" top="0.38" bottom="0.39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2018-12-19T09:34:43Z</cp:lastPrinted>
  <dcterms:created xsi:type="dcterms:W3CDTF">2014-01-17T10:52:16Z</dcterms:created>
  <dcterms:modified xsi:type="dcterms:W3CDTF">2018-12-19T09:43:23Z</dcterms:modified>
  <cp:category/>
  <cp:version/>
  <cp:contentType/>
  <cp:contentStatus/>
</cp:coreProperties>
</file>