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480" windowHeight="10140" activeTab="0"/>
  </bookViews>
  <sheets>
    <sheet name="20.12.18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<sst xmlns="http://schemas.openxmlformats.org/spreadsheetml/2006/main" count="1251" uniqueCount="548">
  <si>
    <t>Будівництво контейнерних площадок для роздільного збору ТПВ ( в т.ч. ПКД)</t>
  </si>
  <si>
    <t xml:space="preserve"> - вул.Курсова 20</t>
  </si>
  <si>
    <t xml:space="preserve"> - пров. 2-й Курсовий 14а</t>
  </si>
  <si>
    <t xml:space="preserve"> - вул.Гетьмана Сагайдачного 37а</t>
  </si>
  <si>
    <t xml:space="preserve"> - вул.Гетьмана Сагайдачного 41</t>
  </si>
  <si>
    <t xml:space="preserve"> - вул.Січневого прориву 7</t>
  </si>
  <si>
    <t xml:space="preserve"> - вул.Січневого прориву 9</t>
  </si>
  <si>
    <t xml:space="preserve"> - вул.Січневого прориву 33а</t>
  </si>
  <si>
    <t xml:space="preserve"> - вул.Сквирське шосе 256</t>
  </si>
  <si>
    <t xml:space="preserve"> - вул.Шолом Алейхема 42</t>
  </si>
  <si>
    <t xml:space="preserve"> - вул.Я.Мудрого 10</t>
  </si>
  <si>
    <t xml:space="preserve"> - вул.В.Чорновола</t>
  </si>
  <si>
    <t xml:space="preserve"> - вул.Вернадського 2,4,6,10</t>
  </si>
  <si>
    <t>Будівництво мереж зовнішнього освітлення пішохідної доріжки вздовж р.Рось (лівий берег) від бази відпочинку в районі ву.Надрічна ( в т.ч. ПКД)</t>
  </si>
  <si>
    <t>Капітальний ремонт  ЗОШ № 22 ( "22 FМ" шкільне радіомовлення) по вул.Таращанська 167 ( в т.ч. ПКД)</t>
  </si>
  <si>
    <t>Субвенція з державного бюджету  місцевим бюджетам на надання державної підтримки особам з особливими освітніми потребами</t>
  </si>
  <si>
    <t>0611161</t>
  </si>
  <si>
    <t>1161</t>
  </si>
  <si>
    <t>0990</t>
  </si>
  <si>
    <r>
      <t xml:space="preserve">Забезпечення діяльності інших закладів у сфері освіти -  </t>
    </r>
    <r>
      <rPr>
        <b/>
        <sz val="18"/>
        <rFont val="Times New Roman"/>
        <family val="1"/>
      </rPr>
      <t>Управління освіти і науки</t>
    </r>
  </si>
  <si>
    <t>Оснащення кабінетів інклюзивно-ресурсних центрів</t>
  </si>
  <si>
    <t>Капітальний ремонт покрівлі КЗ БМР Білоцерківська міська лікарня  № 3  вул.Карбишева ( в т.ч. ПКД)</t>
  </si>
  <si>
    <t xml:space="preserve"> - вул.Фастівська 1</t>
  </si>
  <si>
    <t xml:space="preserve"> - вул.Шевченка 93,95,97,99</t>
  </si>
  <si>
    <t xml:space="preserve"> - вул.Південна від буд.38 до Глибоченського шосе</t>
  </si>
  <si>
    <t>1210160</t>
  </si>
  <si>
    <t>Керівництво і управління у сфері ЖКГ</t>
  </si>
  <si>
    <t>0810160</t>
  </si>
  <si>
    <t>Керівництво і управління у сфері соціального захисту населення</t>
  </si>
  <si>
    <t xml:space="preserve">Придбання обладнання  ЗОШ № 5 (інтерактивна екозона) </t>
  </si>
  <si>
    <t xml:space="preserve"> - вул.Курсова 18</t>
  </si>
  <si>
    <t>Управління з питань молоді та спорту</t>
  </si>
  <si>
    <t>1100000</t>
  </si>
  <si>
    <t>1115031</t>
  </si>
  <si>
    <t>Придбання спортивного обладнання</t>
  </si>
  <si>
    <t>Реконструкція алеї б-р Олександрійський від буд.62 до буд.115 б-р Олександрійський  ( в т.ч. ПКД)</t>
  </si>
  <si>
    <t>0615031</t>
  </si>
  <si>
    <t>Субвенція з місцевого бюджету за рахунок залишку коштів освітньої субвенції, що утворився на початок бюджетного періоду</t>
  </si>
  <si>
    <t>Оснащення закладів загальної середньої освіти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</si>
  <si>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</si>
  <si>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</si>
  <si>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</si>
  <si>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</si>
  <si>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навчальнимии закладами для дітей, які потребують корекції фізичного та (або) розумового розвитку</t>
  </si>
  <si>
    <t>Об"єкти на умовах співфінансування відповідно до рішення Київської обласної ради від 27.04.2018 р. № 418-21-УІІ "Про внесення змін до Програми будівництва, реконструкції та ремонту об"єктів інфрастурктури Київської області на 2016-2018 роки"</t>
  </si>
  <si>
    <t>3700000</t>
  </si>
  <si>
    <t>Міське фінансове управління</t>
  </si>
  <si>
    <t>0180</t>
  </si>
  <si>
    <t>Інші субвенції з місцевого бюджету</t>
  </si>
  <si>
    <t>Капітальний ремонт дорожнього покриття по вул. Котляревського в м. Біла Церква Київської області</t>
  </si>
  <si>
    <t>Капітальний ремонт дорожнього покриття по провулку Піщаному в м. Біла Церква Київської області</t>
  </si>
  <si>
    <t>Реконструкція  теплового пункту ТП-9 з технічним переоснащенням під котельню по вул. Томилівська, 50В в м. Біла Церква Київської області</t>
  </si>
  <si>
    <t>Інша субвенція з обласного бюджету місцевим бюджетам на здійснення заходів з капітального будівництва, реконструкції та ремонту об"єктів на території Київської області</t>
  </si>
  <si>
    <t>Реконструкція котельні по вул.О.Гончара 1 в м Біла Церква Київської області</t>
  </si>
  <si>
    <t>Реконструкція котельні по вул.Павліченко 20 прим 193 в м Біла Церква Київської області</t>
  </si>
  <si>
    <t>Всього</t>
  </si>
  <si>
    <t>Реконструкція теплового вводу з встановленням індивідуального теплового пункту в ДНЗ № 19 вул.Зелена 27а м.Біла Церква Київської області</t>
  </si>
  <si>
    <t>Реконструкція теплового вводу з встановленням індивідуального теплового пункту в ДНЗ № 7 по вул.Грушевського 14 м.Біла Церква Київської області</t>
  </si>
  <si>
    <t>Реконструкція теплового вводу з встановленням індивідуального теплового пункту в ДНЗ № 1 по вул.Дачна 45 м.Біла Церква Київської області</t>
  </si>
  <si>
    <t>Реконструкція теплового вводу з встановленням індивідуального теплового пункту в ДНЗ № 2 по вул. Івана Мазепи 75а м.Біла Церква Київської області</t>
  </si>
  <si>
    <t>Реконструкція теплового вводу з встановленням індивідуального теплового пункту в ДНЗ № 13 по вул.Гайок м.Біла Церква Київської області</t>
  </si>
  <si>
    <t>Реконструкція теплового вводу з встановленням індивідуального теплового пункту в ДНЗ № 5 по вул.Лермонтова 10 м.Біла Церква Київської області</t>
  </si>
  <si>
    <t>Реконструкція теплового вводу із встановленням індивідуального теплового пункту в ДНЗ № 18 вул.Я.Мудрого 68 м.Біла Церква Київської області</t>
  </si>
  <si>
    <t>Реконструкція теплового вводу із встановленням індивідуального теплового пункту ДНЗ № 29 по вул. Лесі Українки 50а м.Біла Церква Київської області</t>
  </si>
  <si>
    <t>Реконструкція теплового вводу із встановленням індивідуального теплового пункту в ДНЗ № 31 по вул. Молодіжна 10  м.Біла Церква Київської області</t>
  </si>
  <si>
    <t>Реконструкція теплового вводу із встановленням індивідуального теплового пункту в ДНЗ № 24 вул.Некрасова 36 м.Біла Церва Київської області</t>
  </si>
  <si>
    <t>Реконструкція теплового вводу із встановленням індивідуального теплового пункту в ДНЗ № 34 по вул.Східна 22 м.Біла Церква Київської області</t>
  </si>
  <si>
    <t>Реконструкція теплового вводу із встановленням індивідуального пункту в ДНЗ № 27 по вул.І.Кожедуба 135б м.Біла Церква Київської області</t>
  </si>
  <si>
    <t>Реконструкція теплового вводу із встановленням індивідуального теплового пункту в ДНЗ № 32  вул.Митрофанова 10 м.Біла Церква Київської області</t>
  </si>
  <si>
    <t>Капітальний ремонт дороги по вул. Залузька в м. Біла Церква Київської області</t>
  </si>
  <si>
    <t>Капітальний ремонт дороги по вул. Кобзаря в м. Біла Церква Київської області</t>
  </si>
  <si>
    <t>Капітальний ремонт дороги по вул. Гетьмана Пилипа Орлика в м. Біла Церква Київської області</t>
  </si>
  <si>
    <t>Капітальний ремонт дороги по вул. Олени Теліги в м. Біла Церква Київської області</t>
  </si>
  <si>
    <t>0217670</t>
  </si>
  <si>
    <t>Капітальний ремонт дороги по вул. Анатолія Солов"яненка в м. Біла Церква Київської області</t>
  </si>
  <si>
    <t>Капітальний ремонт дороги по вул. Чайковського друга в м. Біла Церква Київської області</t>
  </si>
  <si>
    <t>Капітальний ремонт дороги по вул. Лесі Українки в м. Біла Церква Київської області</t>
  </si>
  <si>
    <t>Капітальний ремонт доріг - всього: в т. ч.</t>
  </si>
  <si>
    <t>Субвенція з місцевого бюджету на співфінансування інвестиційних проектів</t>
  </si>
  <si>
    <t>Субвенція з державного бюджету місцевим бюжетам на виплату грошової компенсації за належні для отримання жилі приміщення для сімей загиблих осіб, визанчених абзацами 5-8 п.1 ст.10 ЗУ "Про статус ветеранів війни, гарантії їх соціального захисту", для осіб з інвалідністю І-ІІ групи та які потребують поліпшення житлових умов</t>
  </si>
  <si>
    <t>0813221</t>
  </si>
  <si>
    <t>3221</t>
  </si>
  <si>
    <t>1060</t>
  </si>
  <si>
    <t>Придбання житла</t>
  </si>
  <si>
    <t>0813220</t>
  </si>
  <si>
    <t>3220</t>
  </si>
  <si>
    <t xml:space="preserve">Грошова компенсація за належні для отримання жилі приміщення для сімей загиблих осіб, визначенихабзацами 5-8 п.1 ст.10 ЗУ  "Про статус ветеранів війни, гарантії їх соціального захисту", для осіб з інвалідністю І-ІІ групи, яка настала внаслідок поранення, одержаних під час участі в АТО, та які потребують поліпшння житлових умов </t>
  </si>
  <si>
    <r>
      <t xml:space="preserve">Грошова компенсація за належні для отримання жилі приміщення для окремих категорій населення відповідно до законодавства- </t>
    </r>
    <r>
      <rPr>
        <b/>
        <sz val="18"/>
        <rFont val="Times New Roman"/>
        <family val="1"/>
      </rPr>
      <t>Управління соціального захисту населення</t>
    </r>
  </si>
  <si>
    <t>Реконструкція теплового вводу із встановленням індивідуального теплового пункту в ДНЗ № 11 по вул.Леваневського 43 м.Біла Церква Київської області</t>
  </si>
  <si>
    <t>Реконструкція амбулаторії КЗ БМР МЦПМСД № 2 вул.Томилівська 50/2 корпус 1 ( в т.ч. ПКД)</t>
  </si>
  <si>
    <t>Капітальний ремонт прилеглої території  територіального центру вул.Шевченко 69 ( в т.ч. ПКД)</t>
  </si>
  <si>
    <t>Реконструкція (доопрацювання до повного об"єму) сміттєзвалища ТПВ в м.Біла Церква в районі балки "Сухий яр" з виконанням рекультиваційних робіт ( в т.ч. ПКД)</t>
  </si>
  <si>
    <t>0712010</t>
  </si>
  <si>
    <t>Придбання медичного обладнання КЗ БМР Білоцерківська міська лікарня № 1</t>
  </si>
  <si>
    <t>Капітальний ремонт кисневих концентраторів КЗ БМР Білоцерківська міська лікарня № 2 вул.Семашко 9 ( в т.ч. ПКД)</t>
  </si>
  <si>
    <t>Капітальний ремонт системи холодного та гарячого водопостачання КЗ БМР Білоцерківська міська лікарня № 2 вул.Семашко 9 ( в т.ч. ПКД)</t>
  </si>
  <si>
    <t>Співфінансування відповідно до постанови КМУ № 237 вд 04.04.2018 р. та розпорядження КМУ № 929-р від 18.12.2017 р.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</si>
  <si>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</si>
  <si>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>Придбання обладнання</t>
  </si>
  <si>
    <t xml:space="preserve"> Управління освіти і науки - придбання обладнання</t>
  </si>
  <si>
    <t>Субвенція з державного бюджету місцевим бюджетам на здійснення заходів щодо соціально-економічного розвитку окремих територій     ( розпорядження КМУ № 423-р від 13.06.20018 р.)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</si>
  <si>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</si>
  <si>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</si>
  <si>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</si>
  <si>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тротуарів (в т.ч. ПКД), в тому числі:</t>
  </si>
  <si>
    <t xml:space="preserve"> -    вул. Грибоєдова</t>
  </si>
  <si>
    <t xml:space="preserve">  -   вул Карбишева</t>
  </si>
  <si>
    <t xml:space="preserve"> -     вул Гайок (до БНВО "Звитяга")</t>
  </si>
  <si>
    <t>Капітальний ремонт доріг</t>
  </si>
  <si>
    <t xml:space="preserve"> -     провулок Лазаретний перший</t>
  </si>
  <si>
    <t xml:space="preserve">  -     вул Кільцева</t>
  </si>
  <si>
    <t xml:space="preserve">  -     вул Степана Бандери</t>
  </si>
  <si>
    <t xml:space="preserve">  -     вул Осипенка</t>
  </si>
  <si>
    <t xml:space="preserve"> -      вул Залізняка</t>
  </si>
  <si>
    <t>Капітальний ремонт мереж вуличного освітлення по вул Леваневського (в районі перехрестя з вул. Павліченко) (в т. ч. ПКД)</t>
  </si>
  <si>
    <t>1517363</t>
  </si>
  <si>
    <t>Реконструкція спортивного майданчика ЗОШ № 12 по вул Княгині Ольги 11 (в т. ч. ПКД)</t>
  </si>
  <si>
    <t>Реконструкція спортивного майданчика ЗОШ № 16 по вул Зелена 21 (в т. ч. ПКД)</t>
  </si>
  <si>
    <t>Реконструкція спортивного майданчика ЗОШ № 18 по вул Шевченка 33 (в т. ч. ПКД)</t>
  </si>
  <si>
    <t>Реконструкція (оснащення житлового фонду) засобами обліку, викорстання, регулювання та споживання води та теплової енергії</t>
  </si>
  <si>
    <t>Реконструкція амбулаторії КЗ БМР МЦПМСД № 2 по вул Івана Кожедуба 155 (в т. ч. ПКД)</t>
  </si>
  <si>
    <t>0717363</t>
  </si>
  <si>
    <t>Всього субвенція соц.економ.розвиток</t>
  </si>
  <si>
    <t>Придбання обладнання для облаштування системи відеонагляду</t>
  </si>
  <si>
    <t>Капітальний ремонт школи мистецтв № 5 вул.Таращанська  161 ( в т.ч. ПКД)</t>
  </si>
  <si>
    <t>Реконструкція теплового вводу з встановленням індивідуального теплового пункту в ДНЗ № 3 по пров.Івана Гонти 11а м.Біла Церква Київської області</t>
  </si>
  <si>
    <t>Реконструкція теплового вводу з встановленням індивідуального теплового пункту в ДНЗ № 6 по вул.Андрія Шептицького 2 м.Біла Церква Київської області</t>
  </si>
  <si>
    <t>Капітальний ремонт вікон та дверей  ДНЗ № 15 "Теремок" (в т. ч. ПКД)</t>
  </si>
  <si>
    <t>Капітальний ремонт вікон та дверей  ДНЗ № 25 "Оленка" по вул.Першотравнева 56а (в т. ч. ПКД)</t>
  </si>
  <si>
    <t>Капітальний ремонт вікон та дверей БСШ І-ІІІ ступенів № 1 з поглибленим вивченням слов"янських мов по вул.Логінова 28 (в т. ч. ПКД)</t>
  </si>
  <si>
    <t>Капітальний ремонт нежитлових приміщень по вул.Сквирське шосе 256 (в т. ч. ПКД)</t>
  </si>
  <si>
    <t>Реконструкція системи водовідведення з будівництвом каналізаційної насосної станції по пров.Водопійний перший ( в т.ч. ПКД)</t>
  </si>
  <si>
    <t xml:space="preserve"> - пров.2-й Курсовий 14а</t>
  </si>
  <si>
    <t xml:space="preserve"> - вул.Польова 84 а</t>
  </si>
  <si>
    <t>Капітальний ремонт загальноосвітніх навчальних закладів ( капітальний ремонт пожежної сигналізації БЗШ № 11 по вул.Східна 20) ( в т.ч. ПКД)</t>
  </si>
  <si>
    <t>Капітальний ремонт музичної школи  № 2 б-р Олександрійський 86 ( в т.ч. ПКД)</t>
  </si>
  <si>
    <t xml:space="preserve"> - вул.Ак.Кримського 10</t>
  </si>
  <si>
    <t>Реконструкція скверу на масиві Таращанський ( в межах житлової забудови багатоквартирних будинків № 4,6,10 по вул.Вернадського та № 161 по вул.Таращанська ) м.Біла Церква Київської області ( влаштування центральної алеї) ( в т.ч. ПКД)</t>
  </si>
  <si>
    <t>Придбання об"єкта нерухомого майна - незавершене будівництво нежитлової будівлі літ.5 "А-5"76% готовності, загальною площею 4728,5 кв.м., який розташований за адресою: Київська область, місто Біла Церква, вулиця Театральна, будинок 5</t>
  </si>
  <si>
    <t>Капітальний ремонт шляхопроводу по вул.Сквирське шосе</t>
  </si>
  <si>
    <t xml:space="preserve"> - вул.Я.Мудрого 26-28</t>
  </si>
  <si>
    <t>Придбання  обладнання</t>
  </si>
  <si>
    <t>0611010</t>
  </si>
  <si>
    <t>Співфінансування з місцевого бюджету (субвенція з обласного бюджету місцевим бюджетам на здійснення заходів з капітального будівництва, реконструкції та ремонту об"єктів на території Київської області)</t>
  </si>
  <si>
    <t>Капітальний ремонт ДНЗ № 21 "Малятко" ( капітальний ремонт овочесховища) по вул.Турчанінова 10(в т. ч. ПКД)</t>
  </si>
  <si>
    <t>1512110</t>
  </si>
  <si>
    <t>2110</t>
  </si>
  <si>
    <t>1512111</t>
  </si>
  <si>
    <t>Капітальний ремонт системи опалення КНП БМР МЦПМСД № 2 вул.І.Кожедуба 155 ( в т.ч. ПКД)</t>
  </si>
  <si>
    <t>Первинна медична допомога населенню</t>
  </si>
  <si>
    <t>1513130</t>
  </si>
  <si>
    <t>3130</t>
  </si>
  <si>
    <t>Реалізація державної політики у молодіжній сфері</t>
  </si>
  <si>
    <t>1513132</t>
  </si>
  <si>
    <t>3132</t>
  </si>
  <si>
    <t>1040</t>
  </si>
  <si>
    <t>Утримання клубів підлітків за місцем проживання</t>
  </si>
  <si>
    <t>Капітальний ремонт системи опалення КЗ БМР Клуб за місцем проживання "Прометей" вул.Східна 22 ( в т.ч. ПКД)</t>
  </si>
  <si>
    <t>1513110</t>
  </si>
  <si>
    <t>3110</t>
  </si>
  <si>
    <t>1513111</t>
  </si>
  <si>
    <t>3111</t>
  </si>
  <si>
    <t>Заклади і заходи з питань дітей та їх соціального захитсу</t>
  </si>
  <si>
    <t>Утримання закладів, що надають соціальні послуги дітям, які опинилися у складних життєвих обставинах</t>
  </si>
  <si>
    <t>Реконструкція системи газопостачання центру "Злагода" вул.Пушкінська 29 ( в т.ч. ПКД)</t>
  </si>
  <si>
    <t>Капітальний ремонт системи опалення музичної школи  № 2 б-р Олександрійський 86 ( в т.ч. ПКД)</t>
  </si>
  <si>
    <t xml:space="preserve"> - вул.Храпачанська 30</t>
  </si>
  <si>
    <t xml:space="preserve"> - вул.Гризодубова 1/11</t>
  </si>
  <si>
    <t xml:space="preserve"> - вул.Ставищанська 108</t>
  </si>
  <si>
    <t xml:space="preserve"> - Фастівське шосе</t>
  </si>
  <si>
    <t xml:space="preserve"> - перехрестя вул.Толстого і вул.Мережна</t>
  </si>
  <si>
    <t>Будівництво мереж вуличного освітлення в м.Біла Церква Київської області, в т.ч. внутрішньодворових територій ( в т.ч. ПКД)</t>
  </si>
  <si>
    <t xml:space="preserve"> - вул.Леваневського 152</t>
  </si>
  <si>
    <t xml:space="preserve"> - вул.Таращанська 194</t>
  </si>
  <si>
    <t xml:space="preserve"> - вул.І.Кожедуба 359</t>
  </si>
  <si>
    <t xml:space="preserve"> - вул.Київська 117а</t>
  </si>
  <si>
    <t>Капітальний ремонт адміністративної будівлі Департаменту ЖКГ по вул.А.Шептицького 2 ( в т.ч.ПКД)</t>
  </si>
  <si>
    <t>Реконструкція нежитлової будівлі (незавершене будівництво) під адміністративну будівлю з розміщенням центру надання адміністративних та соціальних послуг ( в форматі "Прозорий офіс" по вул.Театральна 5 в м.Біла Церква Київської області ( в т.ч. ПКД)</t>
  </si>
  <si>
    <t>Придбання матеріалів та обладнання ЗОШ № 22 ( "22 FM" шкільне радіомовлення) по вул.Таращанська 167  ( в т.ч. ПКД)</t>
  </si>
  <si>
    <t>Капітальний ремонт дитячого майданчика біля ж/б 50,52 вул.В.Стуса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</si>
  <si>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</si>
  <si>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</si>
  <si>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</si>
  <si>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</si>
  <si>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</si>
  <si>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грн.</t>
  </si>
  <si>
    <t xml:space="preserve">Відділ капітального будівництва </t>
  </si>
  <si>
    <t>Секретар міської ради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</si>
  <si>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</si>
  <si>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</si>
  <si>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Департамент ЖКГ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</si>
  <si>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</si>
  <si>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відомчою/ТПКВВКМБ/ТКВКБМС</t>
  </si>
  <si>
    <t>Перелік об’єктів, видатки на які у 2018  році будуть проводитися за рахунок коштів бюджету розвитку</t>
  </si>
  <si>
    <t>Надходження кредиту-позики віж міжнародної фінансової організації "Північно екологічна фінансова корпорація (НЕФКО)"</t>
  </si>
  <si>
    <t>Перелік об"єктів, які будуть реалізовуватися у 2018 році, відповідно до Програми реалізації громадського бюджету (бюджету участі)</t>
  </si>
  <si>
    <t>Відділ культури і туризму</t>
  </si>
  <si>
    <t>Управління освіти і науки</t>
  </si>
  <si>
    <t>Виконавчий комітет міської ради</t>
  </si>
  <si>
    <t>Програма розвитку земельних відносин у м.Біла Церква на 2017-2020 р.</t>
  </si>
  <si>
    <t>Управління з питань НС та ЦЗН</t>
  </si>
  <si>
    <t>Управління містобудування та архітектури</t>
  </si>
  <si>
    <t>Програма розробки містобудівної документації для використання територіальною громадою м.Біла Церква на 2015-2019 р.</t>
  </si>
  <si>
    <t xml:space="preserve">Міська цільова програма впровадження  містобудівного  кадастру  м.Біла Церква  </t>
  </si>
  <si>
    <t>Управління соціального захисту населення</t>
  </si>
  <si>
    <t>7330</t>
  </si>
  <si>
    <t>0443</t>
  </si>
  <si>
    <t>Міська програма удосконалення та розвитку системи централізованого оповіщення і зв"язку м.Біла Церква на друге півріччя 2017 р.-2018 роки ( будівництво системи оповіщення)</t>
  </si>
  <si>
    <t>1217310</t>
  </si>
  <si>
    <t>7310</t>
  </si>
  <si>
    <t>1216030</t>
  </si>
  <si>
    <t>6030</t>
  </si>
  <si>
    <t>0620</t>
  </si>
  <si>
    <t>0217130</t>
  </si>
  <si>
    <t>7130</t>
  </si>
  <si>
    <t>0421</t>
  </si>
  <si>
    <t>0217330</t>
  </si>
  <si>
    <t>2917330</t>
  </si>
  <si>
    <t>1617350</t>
  </si>
  <si>
    <t>7350</t>
  </si>
  <si>
    <t>1517325</t>
  </si>
  <si>
    <t>7325</t>
  </si>
  <si>
    <t>1511020</t>
  </si>
  <si>
    <t>1020</t>
  </si>
  <si>
    <t>0921</t>
  </si>
  <si>
    <t>1517323</t>
  </si>
  <si>
    <t>7323</t>
  </si>
  <si>
    <t>1014030</t>
  </si>
  <si>
    <t>4030</t>
  </si>
  <si>
    <t>0824</t>
  </si>
  <si>
    <t>0611020</t>
  </si>
  <si>
    <t>1200000</t>
  </si>
  <si>
    <t>0800000</t>
  </si>
  <si>
    <t>1600000</t>
  </si>
  <si>
    <t>2900000</t>
  </si>
  <si>
    <t>0200000</t>
  </si>
  <si>
    <t>Програма запобігання злочинності "Безпечне місто Біла Церква (СМАРТ-СІТІ:Безпека) на 2016-2018 р.</t>
  </si>
  <si>
    <t>1517321</t>
  </si>
  <si>
    <t>7321</t>
  </si>
  <si>
    <t>Програма утримання кладовищ, пам"ятників, пам"ятних знаків та меморіальних дошок в м.Біла Церква ( викуп землі)</t>
  </si>
  <si>
    <t>Будівництво дитячого спортивного майданчику по вул.Польова 70 (ЗОШ № 15-ДЮСОК) ( в т.ч. ПКД)</t>
  </si>
  <si>
    <t>Реконструкція спортивного майданчику СЗОШ № 19 по вул.Л.Симиренка 49 ( в т.ч. ПКД)</t>
  </si>
  <si>
    <t>Капітальний ремонт ЗОШ № 22 ( кабінет хімії) по вул.Таращанська 167 ( в т.ч. ПКД)</t>
  </si>
  <si>
    <t>Будівництво дитячого майданчику по вул.Карбишева 17 ( в т.ч. ПКД)</t>
  </si>
  <si>
    <t>Реконструкція універсального ігрового майданчику по бул.Олександрійський 75 ( в т.ч. ПКД)</t>
  </si>
  <si>
    <t>Реконструкція мініфутбольного поля по вул.Турчанінова 15 ( в т.ч. ПКД)</t>
  </si>
  <si>
    <t>Придбання обладнання для бібліотек (Бібліоковоркінг ''LITERRA'') ( в т.ч. ПКД)</t>
  </si>
  <si>
    <t>Придбання обладнання  ЗОШ № 22 ( кабінет хімії) по вул.Таращанська 167 ( в т.ч. ПКД)</t>
  </si>
  <si>
    <t>Реконструкція  та модернізація мереж вуличного освітлення в м.Біла Церква шляхом технічного переоснащення ( співфінансування по проекту НЕФКО) ( в т.ч. ПКД)</t>
  </si>
  <si>
    <t>Реконструкція  та модернізація мереж вуличного освітлення в м.Біла Церква шляхом технічного переоснащення ( в т.ч. ПКД)</t>
  </si>
  <si>
    <t>Всього громадський бюджет</t>
  </si>
  <si>
    <t>І.Освіта</t>
  </si>
  <si>
    <t>Реконструкція території БНВК (ЗОШ № 13-ДНЗ) по вул.Таращанська 18 ( в т.ч. ПКД)</t>
  </si>
  <si>
    <t>Реконструкція приміщень ДНЗ № 11 "Золотий ключик" вул.Леваневського 43 ( в т.ч. ПКД)</t>
  </si>
  <si>
    <t>Реконструкція приміщень ДНЗ № 13 "Пілот" вул.Гайок ( в т.ч. ПКД)</t>
  </si>
  <si>
    <t>Реконструкція покрівлі ДНЗ № 21 "Малятко" вул.Турчанінова 10( в т.ч. ПКД)</t>
  </si>
  <si>
    <t>Реконструкція спортивного майданчика СПМШ № 16 по вул.Зелена 21 ( в т.ч. ПКД)</t>
  </si>
  <si>
    <t>Реконструкція спортивного майданчика ЗОШ № 3 по вул.Павліченко 22 ( в т.ч. ПКД)</t>
  </si>
  <si>
    <t>Реконструкція спортивного майданчика ЗОШ № 4 по вул.Молодіжна 12 ( в т.ч. ПКД)</t>
  </si>
  <si>
    <t>Реконструкція спортивного майданчика ЗОШ № 17 по вул.Зарічанська 42 ( в т.ч. ПКД)</t>
  </si>
  <si>
    <t>Реконструкція спортивного майданчика ЗОШ № 7 по б-р Олександрійський 40 ( в т.ч. ПКД)</t>
  </si>
  <si>
    <t>Реконструкція спортивного майданчика ЗОШ № 18 по вул.Шевченко 33 ( в т.ч. ПКД)</t>
  </si>
  <si>
    <t>Реконструкція спортивного майданчика БНВО "Перша Білоцерківська гімназія-школа І ступеня" вул.Я.Мудрого 54  ( в т.ч. ПКД)</t>
  </si>
  <si>
    <t>Капітальний ремонт загальноосвітніх навчальних закладів ( в т.ч. ПКД)</t>
  </si>
  <si>
    <t>Капітальний ремонт ДНЗ ( в т.ч. пкд)</t>
  </si>
  <si>
    <t>Капітальний ремонт КЗ БМР ДЮСШ управління освіти і науки ( в т.ч. ПКД)</t>
  </si>
  <si>
    <t>ІІ.Охорона здоров"я</t>
  </si>
  <si>
    <t>Реконструкція амбулаторії КЗ БМР МЦПМСД № 2 вул.Некрасова 30 ( в т.ч. ПКД)</t>
  </si>
  <si>
    <t>Капітальний ремонт приміщень 2-го поверху хірургічного корпусу КЗ БМР Білоцерківська міська лікарня № 1 ( в т.ч. ПКД)</t>
  </si>
  <si>
    <t>Реконструкція МЦПМСД № 1 із встановленням ліфта вул.І.Мазепи 65а ( в т.ч. ПКД)</t>
  </si>
  <si>
    <t>ІІІ. Соціальний захист</t>
  </si>
  <si>
    <t>Капітальний ремонт нежитлових приміщень територіального центру вул.Шевченко 69 ( в т.ч. ПКД)</t>
  </si>
  <si>
    <t>ІV. Культура</t>
  </si>
  <si>
    <t>Капітальний ремонт бібліотек ( в т.ч. ПКД)</t>
  </si>
  <si>
    <t>V. Фізична культура та спорт</t>
  </si>
  <si>
    <t>Капітальний ремонт дитячих спортивних майданчиків ( в т.ч. ПКД)</t>
  </si>
  <si>
    <t>VІ. Комунальне господарство</t>
  </si>
  <si>
    <t>Будівництво пішоходного мосту через р.Рось в районі вул.В.Стуса ( в т.ч. ПКД)</t>
  </si>
  <si>
    <t>Будівництво притулку для тварин ( в т.ч. ПКД)</t>
  </si>
  <si>
    <t>Реконструкція алеї бул.Княгині Ольги м.Біла Церква ( в т.ч. ПКД)</t>
  </si>
  <si>
    <t>Реконструкція алеї бул.М.Грушевського м.Біла Церква ( в т.ч. ПКД)</t>
  </si>
  <si>
    <t>Реконструкція вул.Я.Мудрого від перехрестя з кільцевим рухом по бул.М.Грушевського до перехрестя з кільцевим рухом по вул.Осипенко ( в т.ч.ПКД)</t>
  </si>
  <si>
    <t>Реконструкція аварійної ділянки мережі водопостачання по вул.Таращанська ( від вул.Тімірязєва до буд.№ 191а по вул.Таращанська) в м.Біла Церква Київської області</t>
  </si>
  <si>
    <t>Реконструкція пл.Привокзальна ( в т.ч. ПКД)</t>
  </si>
  <si>
    <t>Реконструкція пл.Соборна ( в т.ч. ПКД)</t>
  </si>
  <si>
    <t>Будівництво кладовища Новокиївське 3 ( в т.ч. ПКД)</t>
  </si>
  <si>
    <t>Будівництво об"їзної дороги в м.Біла Церква, що з"єднає автодороги Р-17 (м.Біла Церква-Липовець) та Р-04 (м.Фастів-м.Біла Церква-м.Звенігородка) ( в т.ч. ПКД)</t>
  </si>
  <si>
    <t>Реконструкція зовнішнього освітлення пішоходних переходів вулично-дорожньої мережі в м.Біла Церква ( в т.ч. ПКД)</t>
  </si>
  <si>
    <t xml:space="preserve"> - площа Соборна</t>
  </si>
  <si>
    <t xml:space="preserve"> - просп.Кн.Володимира ( на ділянці від пл.Соборна до перехрестя з вул.Л.Симиренка)</t>
  </si>
  <si>
    <t xml:space="preserve"> - вул.Я.Мудрого ( на ділянці від пл.Соборна до перехрестя з вул.С.Наливайка)</t>
  </si>
  <si>
    <t>Реконструкція ( модернізація) вуличного освітлення в м.Біла Церква Київської області, в т.ч. внутрішньодворових територій ( в т.ч.ПКД)</t>
  </si>
  <si>
    <t xml:space="preserve"> - від буд.вул..Турчанінова 12 до буд.35 вул.Січневого прориву</t>
  </si>
  <si>
    <t xml:space="preserve"> - б-р Олександрійський</t>
  </si>
  <si>
    <t xml:space="preserve"> - б-р М.Грушевського</t>
  </si>
  <si>
    <t xml:space="preserve"> - вул.Павліченко</t>
  </si>
  <si>
    <t xml:space="preserve"> - вул.Леваневського-ст.Роток</t>
  </si>
  <si>
    <t xml:space="preserve"> - вул.Сквирське шосе</t>
  </si>
  <si>
    <t xml:space="preserve"> - вул.Сухоярська</t>
  </si>
  <si>
    <t xml:space="preserve"> - вул.Січневий прорив</t>
  </si>
  <si>
    <t xml:space="preserve"> - вул.Олеся Гончара</t>
  </si>
  <si>
    <t xml:space="preserve"> - вул.Толстого</t>
  </si>
  <si>
    <t xml:space="preserve"> - вул.Ярмаркова</t>
  </si>
  <si>
    <t xml:space="preserve"> - вул.Гагаріна</t>
  </si>
  <si>
    <t xml:space="preserve"> - вул.Фастівська</t>
  </si>
  <si>
    <t xml:space="preserve"> - вул.Некрасова</t>
  </si>
  <si>
    <t xml:space="preserve"> - вул.Ставищанська 128</t>
  </si>
  <si>
    <t>Капітальний ремонт житлового фонду ( в т.ч. ПКД)</t>
  </si>
  <si>
    <t>Капітальний ремонт  ліфтів ( в т.ч. експертне обстеження, ПКД)</t>
  </si>
  <si>
    <t>Капітальний ремонт  тротуарів ( в т.ч.  ПКД)</t>
  </si>
  <si>
    <t>Капітальний ремонт  доріг ( в т.ч.  ПКД)</t>
  </si>
  <si>
    <t>Капітальний ремонт  прибудинкових територій та проїздів ( в т.ч.  ПКД)</t>
  </si>
  <si>
    <t>Капітальний ремонт  зливової каналізації водовідведення та дренажу ( в т.ч.  ПКД)</t>
  </si>
  <si>
    <t>Капітальний ремонт  зупинок громадського транспорту ( в т.ч.  ПКД)</t>
  </si>
  <si>
    <t>Капітальний ремонт  об"єктів кладовищ ( в т.ч.  ПКД)</t>
  </si>
  <si>
    <t>Капітальний ремонт  мостів та шляхопроводів ( в т.ч.  ПКД)</t>
  </si>
  <si>
    <t>Реконструкція світлофорних об"єктів ( в т.ч. ПКД)</t>
  </si>
  <si>
    <t xml:space="preserve"> - б-р Олександрійський ( критий ринок)</t>
  </si>
  <si>
    <t xml:space="preserve"> - вул.І.Кожедуба</t>
  </si>
  <si>
    <t xml:space="preserve"> - вул.Логінова-вул.Першотравнева</t>
  </si>
  <si>
    <t xml:space="preserve"> - вул.І.Кожедуба - вул.Павліченко</t>
  </si>
  <si>
    <t xml:space="preserve"> - вул.Сквирське шосе - вул.Турчанінова</t>
  </si>
  <si>
    <t xml:space="preserve"> - вул.Шевченко-просп.Кн.Володимира</t>
  </si>
  <si>
    <t>Будівництво світлофорних об"єктів ( в т.ч.ПКД)</t>
  </si>
  <si>
    <t xml:space="preserve"> - вул.В.Чорновола-вул.Сквирське шосе</t>
  </si>
  <si>
    <t xml:space="preserve"> - вул.Рибна-вул.І.Кожедуба</t>
  </si>
  <si>
    <t>Реконструкція тротуарної частини ( в т.ч. ПКД)</t>
  </si>
  <si>
    <t xml:space="preserve"> - вул.Сквирське шосе (військбуд-Гайок)</t>
  </si>
  <si>
    <t xml:space="preserve"> - б-р Олександрійський </t>
  </si>
  <si>
    <t xml:space="preserve"> - вул.Леваневського</t>
  </si>
  <si>
    <t xml:space="preserve"> - просп.Князя Володимира</t>
  </si>
  <si>
    <t xml:space="preserve"> - вул.Друга Піщана</t>
  </si>
  <si>
    <t>Реконструкція рекреаційної зони Замкова гора ( в т.ч. ПКД)</t>
  </si>
  <si>
    <t>Реконструкція зливової каналізації водовідведення та дренажу ( в т.ч. ПКД)</t>
  </si>
  <si>
    <t xml:space="preserve"> - вул.Гайок</t>
  </si>
  <si>
    <t>Реконструкція вулиць( в т.ч.ПКД)</t>
  </si>
  <si>
    <t xml:space="preserve"> - площа Запорожця</t>
  </si>
  <si>
    <t xml:space="preserve"> -вул.Театральна</t>
  </si>
  <si>
    <t>Придбання обладнання для управлінь та відділів</t>
  </si>
  <si>
    <t>Капітальний ремонт приміщень виконавчого комітету ( в т.ч. ПКД)</t>
  </si>
  <si>
    <t>Будівництво пішохідної доріжки вздовж р.Рось - лівий беріг  ( в т.ч. ПКД)</t>
  </si>
  <si>
    <t>Реконструкція вул.Ак.Линника ( мікрорайон Піщаний) ( в т.ч. ПКД)</t>
  </si>
  <si>
    <t>1517322</t>
  </si>
  <si>
    <t>7322</t>
  </si>
  <si>
    <t>1517310</t>
  </si>
  <si>
    <t>1512010</t>
  </si>
  <si>
    <t>2010</t>
  </si>
  <si>
    <t>0731</t>
  </si>
  <si>
    <t>1513104</t>
  </si>
  <si>
    <t>3104</t>
  </si>
  <si>
    <t>1514030</t>
  </si>
  <si>
    <t>1515061</t>
  </si>
  <si>
    <t>5061</t>
  </si>
  <si>
    <t>0810</t>
  </si>
  <si>
    <t>0210160</t>
  </si>
  <si>
    <t>0160</t>
  </si>
  <si>
    <t>0111</t>
  </si>
  <si>
    <t>Реконструкція внутрішніх приміщень 1-го  поверху гуртожитку по вул.Шолом Алейхема 86 ( в т.ч. ПКД)</t>
  </si>
  <si>
    <t>Реконструкція дитячого закладу оздоровлення і відпочинку "Лісова казка" ( в т.ч. ПКД)</t>
  </si>
  <si>
    <t>Будівництво об"єктів соціально-культурного призначення</t>
  </si>
  <si>
    <t>Будівництво освітніх установ та закладів</t>
  </si>
  <si>
    <t>1511010</t>
  </si>
  <si>
    <t>1010</t>
  </si>
  <si>
    <t>0910</t>
  </si>
  <si>
    <t>1515031</t>
  </si>
  <si>
    <t>5031</t>
  </si>
  <si>
    <t>Надання дошкільної освіти</t>
  </si>
  <si>
    <t>Надання загальної середньої освіти загальноосвітніми навчальними закладами, спеціалізованими школами, лійеями, гімназіями, колегіумами</t>
  </si>
  <si>
    <t>1515030</t>
  </si>
  <si>
    <t>5030</t>
  </si>
  <si>
    <t>Розвиток дитячо-юнацького та резервного спорту</t>
  </si>
  <si>
    <t>Утримання та навчально-тренувальна робота дитячо-юнацьких спортивних шкіл</t>
  </si>
  <si>
    <t>Будівництво медичних установ та закладів</t>
  </si>
  <si>
    <t>Багатопрофільна стаціонарна медична допомога населенню</t>
  </si>
  <si>
    <t>1513100</t>
  </si>
  <si>
    <t>3100</t>
  </si>
  <si>
    <t>Надання соціальних та реабілітаційних послуг громадянам похилого віку, особам з інвалідністю,в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</si>
  <si>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</si>
  <si>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1515060</t>
  </si>
  <si>
    <t>5060</t>
  </si>
  <si>
    <t>Забезпечення діяльності бібліотек</t>
  </si>
  <si>
    <t>Інші заходи з розвитку фізичної культури та спорту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</si>
  <si>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</si>
  <si>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Будівництво об"єктів житлово-комунального господарства</t>
  </si>
  <si>
    <t>Утримання та ефективна експлуатація об"єктів житлово-комунального господарства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</si>
  <si>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</si>
  <si>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</si>
  <si>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Організація благоустрою населенних пунктів</t>
  </si>
  <si>
    <t>Здійснення заходів із землеустрою</t>
  </si>
  <si>
    <t>Будівництво інших об"єктів соціальної та виробничої інфрастурктури комунальної власності</t>
  </si>
  <si>
    <t>Керівництво і управління виконавчого комітету міської ради</t>
  </si>
  <si>
    <t>Розроблення схем планування та забудови територій</t>
  </si>
  <si>
    <r>
      <t xml:space="preserve">Будівництво об"єктів житлово-комунального господарства - </t>
    </r>
    <r>
      <rPr>
        <b/>
        <sz val="18"/>
        <rFont val="Times New Roman"/>
        <family val="1"/>
      </rPr>
      <t>Департамент ЖКГ</t>
    </r>
  </si>
  <si>
    <t>Будівництво споруд, установ та закладів фізичної культури та спорту</t>
  </si>
  <si>
    <t>Будівництво установ та закладів соціальної сфери</t>
  </si>
  <si>
    <t>1500000</t>
  </si>
  <si>
    <t>1000000</t>
  </si>
  <si>
    <t>0600000</t>
  </si>
  <si>
    <t>( в редакції рішення міської ради</t>
  </si>
  <si>
    <t>Реконструкція покрівлі басейну БНВК (ЗОШ № 15-ДЮСОК) по вул.Польова 70( в т.ч. ПКД)</t>
  </si>
  <si>
    <t>Будівництво спортивного майданчика БНВО "Казка" вул.Таращанська 167а (ПКД)</t>
  </si>
  <si>
    <t>1511030</t>
  </si>
  <si>
    <t>1030</t>
  </si>
  <si>
    <t>Надання загальної середньої освіти вечірніми (змінними) школами</t>
  </si>
  <si>
    <t>Капітальний ремонт вечірніх шкіл ( в т.ч. ПКД)</t>
  </si>
  <si>
    <t>1511090</t>
  </si>
  <si>
    <t>1090</t>
  </si>
  <si>
    <t>0960</t>
  </si>
  <si>
    <t>Надання позашкільної освіти позашкільними закладами освіти, заходи з позашкільної роботи з дітьми</t>
  </si>
  <si>
    <t>Капітальний ремонт позашкільних закладів освіти ( в т.ч. ПКД)</t>
  </si>
  <si>
    <t>Капітальний ремонт ліфтів КЗ БМР Білоцерківська міська лікарня  № 2  вул.Семашко 9 ( в т.ч. ПКД)</t>
  </si>
  <si>
    <t>1513105</t>
  </si>
  <si>
    <t>3105</t>
  </si>
  <si>
    <t>Надання реабілітаційних послуг особам з інвалідністю та дітям з інвалідністю</t>
  </si>
  <si>
    <t>Капітальний ремонт приміщень КУ БМР Білоцерківський центр комплексної реабілітації для осіб з інвалідністю "Шанс" (для інклюзивної освіти) ( в т.ч. ПКД)</t>
  </si>
  <si>
    <t>1511100</t>
  </si>
  <si>
    <t>1100</t>
  </si>
  <si>
    <t>Надання спеціальної освіти школами естетичного виховання</t>
  </si>
  <si>
    <t>Капітальний ремонт школи мистецтв № 4 пр.Кн.Володимира 3 ( в т.ч. ПКД)</t>
  </si>
  <si>
    <t>Будівництво світлофорного об"єкту вул.Глиняна-Київська ( в т.ч. ПКД)</t>
  </si>
  <si>
    <t xml:space="preserve"> - вул.Леваневського 56а,68</t>
  </si>
  <si>
    <t xml:space="preserve"> - вул.Курсова</t>
  </si>
  <si>
    <t>Капітальний ремонт вуличного освітлення ( в т.ч. ПКД)</t>
  </si>
  <si>
    <t xml:space="preserve"> - вул.Воєводіна</t>
  </si>
  <si>
    <t xml:space="preserve"> - вул.В.Симоненко</t>
  </si>
  <si>
    <t xml:space="preserve"> - вул.Новоселівська</t>
  </si>
  <si>
    <t xml:space="preserve"> - вул.Залузька</t>
  </si>
  <si>
    <t xml:space="preserve"> - вул.Піщана друга</t>
  </si>
  <si>
    <t xml:space="preserve"> - вул.Кобзаря</t>
  </si>
  <si>
    <t xml:space="preserve"> - вул.П.Орлика</t>
  </si>
  <si>
    <t xml:space="preserve"> - вул.Є.Деслава</t>
  </si>
  <si>
    <t>Будівництво дороги від вул.Запорізька до вул.Річкова ( в т.ч. ПКД)</t>
  </si>
  <si>
    <t>1217670</t>
  </si>
  <si>
    <t>7670</t>
  </si>
  <si>
    <t>0490</t>
  </si>
  <si>
    <t>Внески до статуного капіталу суб"єктів господарювання</t>
  </si>
  <si>
    <t>Внески органів місцевого самоврядування до статутного капіталу КП БМР "Спецкомбінат з надання ритуальних послуг"</t>
  </si>
  <si>
    <t>Внески органів місцевого самоврядування до статутного капіталу КП БМР "Тролейбусне управління"</t>
  </si>
  <si>
    <t>Внески органів місцевого самоврядування до статутного капіталу КП БМР " Муніципальна варта"</t>
  </si>
  <si>
    <t>2910160</t>
  </si>
  <si>
    <t>Керівництво і управління у сфері цивільного захисту населення</t>
  </si>
  <si>
    <t>Придбання комп"ютерної техніки</t>
  </si>
  <si>
    <t>Капітальний ремонт нежитлової будівлі по вул.Павліченко 14а ( в т.ч. ПКД)</t>
  </si>
  <si>
    <t>0610160</t>
  </si>
  <si>
    <t>01111</t>
  </si>
  <si>
    <t>Керівництво і управління у сфері освіти і науки</t>
  </si>
  <si>
    <t>0700000</t>
  </si>
  <si>
    <t>Управління охорони здоров"я</t>
  </si>
  <si>
    <t>0712100</t>
  </si>
  <si>
    <t>2100</t>
  </si>
  <si>
    <t>0722</t>
  </si>
  <si>
    <t>Стоматологічна допомога населенню</t>
  </si>
  <si>
    <t>0712151</t>
  </si>
  <si>
    <t>2151</t>
  </si>
  <si>
    <t>0763</t>
  </si>
  <si>
    <t>Забезпечення діяльності інших закладів у сфері охорони здоров"я ( утримання паталогоанатомічного бюро)</t>
  </si>
  <si>
    <t>1610160</t>
  </si>
  <si>
    <t>Керівництво і управління у сфері містобудування та архітектури</t>
  </si>
  <si>
    <t>0813105</t>
  </si>
  <si>
    <t>Передача коштів із загального фонду до бюджету розвитку ( спеціального фонду)</t>
  </si>
  <si>
    <t>Медична субвенція з державного бюджету ( залишки станом на 01.01.2018 р. )</t>
  </si>
  <si>
    <t>0712111</t>
  </si>
  <si>
    <t>2111</t>
  </si>
  <si>
    <t>0726</t>
  </si>
  <si>
    <t>Первинна медична допомога населенню, що надається центрами первинної медичної допомоги</t>
  </si>
  <si>
    <t>Придбання комп"ютерної техніки для МЦПМСД № 1</t>
  </si>
  <si>
    <t>Придбання комп"ютерної техніки для МЦПМСД № 2</t>
  </si>
  <si>
    <t>ВСЬОГО:</t>
  </si>
  <si>
    <t>В.Кошель</t>
  </si>
  <si>
    <t>Реконструкція амбулаторії КЗ БМР МЦПМСД № 2 вул.І.Кожедуба 155 ( в т.ч. ПКД)</t>
  </si>
  <si>
    <t>Капітальний ремонт (вікна) КЗ БМР Білоцерківська міська лікарня  № 2  вул.Семашко 9 ( в т.ч. ПКД)</t>
  </si>
  <si>
    <t>Придбання медичного обладнання для МЦПМСД № 1</t>
  </si>
  <si>
    <t>Придбання медичного обладнання для МЦПМСД № 2</t>
  </si>
  <si>
    <t>Погашення частини кредиту-позики від міжнародної фінансової організації "Північно екологічна  фінансова корпорація "НЕФКО"</t>
  </si>
  <si>
    <t>РАЗОМ</t>
  </si>
  <si>
    <t>Реконструкція аварійної ділянки мережі водопостачання по вул.Героїв Небесної Сотні в м.Біла Церква ( в т.ч.  ПКД)</t>
  </si>
  <si>
    <t>Реконструкція каналізаційної насосної станції № 7 із заміною мереж живлення за адресою вул.І.Кожедуба 244 в м.Біла Церква Київської області ( в т.ч. ПКД)</t>
  </si>
  <si>
    <t>Реконструкція (оснащення житлового фонду) засобами обліку використання, регулювання та споживання води та теплової енергії ( в т.ч. ПКД)</t>
  </si>
  <si>
    <t xml:space="preserve"> - б-р Олександрійський 46</t>
  </si>
  <si>
    <t xml:space="preserve"> - вул.Карбишева 17</t>
  </si>
  <si>
    <t xml:space="preserve"> - вул.Карбишева 53а</t>
  </si>
  <si>
    <t xml:space="preserve"> - пров.Курсовий 23</t>
  </si>
  <si>
    <t xml:space="preserve"> - пров.Курсовий 30</t>
  </si>
  <si>
    <t xml:space="preserve"> - б-р Олександрійський 52</t>
  </si>
  <si>
    <t xml:space="preserve"> - б-р Олександрійський 82</t>
  </si>
  <si>
    <t xml:space="preserve"> - б-р Олександрійський 102</t>
  </si>
  <si>
    <t xml:space="preserve"> - б-р Олександрійський 105</t>
  </si>
  <si>
    <t xml:space="preserve"> - вул.Павліченко 6а</t>
  </si>
  <si>
    <t xml:space="preserve"> - вул.Павліченко 43</t>
  </si>
  <si>
    <t xml:space="preserve"> - вул.Павліченко 53</t>
  </si>
  <si>
    <t xml:space="preserve"> - вул.Першотравнева 82</t>
  </si>
  <si>
    <t xml:space="preserve"> - вул.Сквирське шосе 25</t>
  </si>
  <si>
    <t xml:space="preserve"> - вул.Сквирське шосе 220</t>
  </si>
  <si>
    <t xml:space="preserve"> - вул.Сквирське шосе 223</t>
  </si>
  <si>
    <t xml:space="preserve"> - вул.Сквирське шосе 244</t>
  </si>
  <si>
    <t xml:space="preserve"> - вул.Сквирське шосе 252</t>
  </si>
  <si>
    <t xml:space="preserve"> - вул.Сквирське шосе 258</t>
  </si>
  <si>
    <t xml:space="preserve"> - Соборна площа 2а</t>
  </si>
  <si>
    <t xml:space="preserve"> - вул.Театральна 3</t>
  </si>
  <si>
    <t xml:space="preserve"> - Торгова площа 4/27</t>
  </si>
  <si>
    <t xml:space="preserve"> - Торгова площа 18</t>
  </si>
  <si>
    <t xml:space="preserve"> - вул.Шевченко 108 г</t>
  </si>
  <si>
    <t xml:space="preserve"> - вул.Шевченко 112 а</t>
  </si>
  <si>
    <t xml:space="preserve"> - вул.Я.Мудрого 16/2</t>
  </si>
  <si>
    <t xml:space="preserve"> - вул.Я.Мудрого 18/1</t>
  </si>
  <si>
    <t xml:space="preserve"> - вул.Я.Мудрого 57</t>
  </si>
  <si>
    <t xml:space="preserve"> - вул.Леваневського 50/5</t>
  </si>
  <si>
    <t xml:space="preserve"> - вул.Польова 84а</t>
  </si>
  <si>
    <t>Додаток № 6
до рішення міської ради
від  21.12.2017. №   1880 -43 -УІІ</t>
  </si>
  <si>
    <t>Реконструкція скверу на масиві Таращанський ( в межах  будинків № 4,6,10 по вул.Вернадського та № 161 по вул.Таращанська ) м.Біла Церква Київської області ( влаштування алеї від будинку № 10 до буд.№ 6 вул.Вернадського) ( в т.ч. ПКД)</t>
  </si>
  <si>
    <t>0611162</t>
  </si>
  <si>
    <t>1162</t>
  </si>
  <si>
    <t>Інші програми та заходи у сфері освіти</t>
  </si>
  <si>
    <t>Реконструкція спортивного майданчика СЗОШ № 12 по вул.Кн.Ольги 11 ( в т.ч. ПКД)</t>
  </si>
  <si>
    <t>Реконструкція території ЗОШ № 17   вул.Зарічанська ( в т.ч. ПКД)</t>
  </si>
  <si>
    <t xml:space="preserve">  -   вул.Леваневського</t>
  </si>
  <si>
    <t>Капітальний ремонт зупинок громадського транспорту</t>
  </si>
  <si>
    <t xml:space="preserve"> - б-р Олександрійський 155</t>
  </si>
  <si>
    <t xml:space="preserve"> - вул.Піщана друга ( в районі кладовища)</t>
  </si>
  <si>
    <t>Капітальний ремонт прибудинкових територій та проїздів ( в т. ч. ПКД)</t>
  </si>
  <si>
    <t xml:space="preserve"> - вул.Леваневського 55,57</t>
  </si>
  <si>
    <t xml:space="preserve"> - вул.Я.Мудрого 59</t>
  </si>
  <si>
    <t xml:space="preserve"> - вул.Я.Мудрого 26,28</t>
  </si>
  <si>
    <t xml:space="preserve"> - б-р Олександрійський 123</t>
  </si>
  <si>
    <t xml:space="preserve"> - б-р Олександрійський 119,121</t>
  </si>
  <si>
    <t xml:space="preserve"> - б-р Олександрійський 74,76,78</t>
  </si>
  <si>
    <t>Реконструкція (модернізація) вуличного освітлення вул.Толстого в м.Біла Церква Київської області в т.ч.внутрішньодворових територій ( в т.ч. ПКД)</t>
  </si>
  <si>
    <t>Реконструкція (модернізація) вуличного освітлення вул.Ярмаркова в м.Біла Церква Київської області в т.ч.внутрішньодворових територій ( в т.ч. ПКД)</t>
  </si>
  <si>
    <t>Реконструкція (модернізація) вуличного освітлення вул.Некрасова в м.Біла Церква Київської області в т.ч.внутрішньодворових територій ( в т.ч. ПКД)</t>
  </si>
  <si>
    <t>Реконструкція (модернізація) вуличного освітлення вул.Січневий прорив в м.Біла Церква Київської області в т.ч.внутрішньодворових територій ( в т.ч. ПКД)</t>
  </si>
  <si>
    <t>Реконструкція (модернізація) вуличного освітлення вул.Шевченка 93,95,97 в м.Біла Церква Київської області в т.ч.внутрішньодворових територій ( в т.ч. ПКД)</t>
  </si>
  <si>
    <t xml:space="preserve"> - площа Соборна 2а</t>
  </si>
  <si>
    <t>Реконструкція покрівлі ДНЗ № 21 "Малятко"  по вул.Турчанінова 10(в т. ч. ПКД)</t>
  </si>
  <si>
    <t>Капітальний ремонт вікон та дверей школи мистецтв № 5 вул.Таращанська 161</t>
  </si>
  <si>
    <t>Капітальний ремонт дитячого майданчика біля ж/б 10 вул.Ак.Кримського</t>
  </si>
  <si>
    <t>Капітальний ремонт ЗНЗ ( капітальний ремонт вікон та дверей) БНВО "Перша Білоцерківська гімназія-школа І ступеня" вул.Я.Мудрого 54  ( в т.ч. ПКД)</t>
  </si>
  <si>
    <t>Капітальний ремонт ЗНЗ ( капітальний ремонт вікон та дверей) Білоцерківської ЗОШ № 6 вул.В.Чорновола 6 ( в т.ч. ПКД)</t>
  </si>
  <si>
    <t>Капітальний ремонт ЗНЗ ( капітальний ремонт вікон та дверей) Білоцерківської СЗОШ № 12  б-р Кн.Ольги 11 ( в т.ч. ПКД)</t>
  </si>
  <si>
    <t>Придбання медичного обладнання для КНП БМР Білоцерківський пологовий будинок</t>
  </si>
  <si>
    <t>Реконструкція спортивного майданчика з влаштуванням міні-футбольного поля зі штучним покриттям (розміром 42х22) Білоцерківської загальноосвітньої школи І-ІІІ ступенів № 11 вул.Східна 20 ( в т.ч. ПКД)</t>
  </si>
  <si>
    <t>Реконструкція спортивного майданчика з влаштуванням міні-футбольного поля зі штучним покриттям (розміром 42х22) БНВК "Загальноосвітняшкола І-ІІІ ступенів № 13-ДНЗ" вул.Таращанська 18( в т.ч. ПКД)</t>
  </si>
  <si>
    <t>0611090</t>
  </si>
  <si>
    <t>0218220</t>
  </si>
  <si>
    <t>8220</t>
  </si>
  <si>
    <t>0380</t>
  </si>
  <si>
    <t>Заходи та роботи з мобілізаційної підготовки місцевого значення</t>
  </si>
  <si>
    <t>Програма по організації та фінансовому забезпеченню мобілізації, призову та приписки громадян у м.Біла Церква</t>
  </si>
  <si>
    <t>від       .12.2018 р. №             -          -УІІ 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</si>
</sst>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" fillId="55" borderId="16" xfId="0" applyFont="1" applyFill="1" applyBorder="1" applyAlignment="1">
      <alignment horizontal="center" wrapText="1"/>
    </xf>
    <xf numFmtId="3" fontId="34" fillId="0" borderId="16" xfId="95" applyNumberFormat="1" applyFont="1" applyBorder="1">
      <alignment vertical="top"/>
      <protection/>
    </xf>
    <xf numFmtId="0" fontId="35" fillId="0" borderId="16" xfId="0" applyFont="1" applyFill="1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3" fontId="37" fillId="0" borderId="16" xfId="95" applyNumberFormat="1" applyFont="1" applyBorder="1">
      <alignment vertical="top"/>
      <protection/>
    </xf>
    <xf numFmtId="0" fontId="36" fillId="0" borderId="16" xfId="0" applyFont="1" applyFill="1" applyBorder="1" applyAlignment="1">
      <alignment horizontal="left" vertical="center" wrapText="1"/>
    </xf>
    <xf numFmtId="3" fontId="37" fillId="0" borderId="16" xfId="95" applyNumberFormat="1" applyFont="1" applyFill="1" applyBorder="1">
      <alignment vertical="top"/>
      <protection/>
    </xf>
    <xf numFmtId="3" fontId="34" fillId="0" borderId="16" xfId="95" applyNumberFormat="1" applyFont="1" applyFill="1" applyBorder="1">
      <alignment vertical="top"/>
      <protection/>
    </xf>
    <xf numFmtId="0" fontId="35" fillId="0" borderId="16" xfId="0" applyFont="1" applyFill="1" applyBorder="1" applyAlignment="1">
      <alignment wrapText="1"/>
    </xf>
    <xf numFmtId="0" fontId="39" fillId="0" borderId="16" xfId="0" applyFont="1" applyBorder="1" applyAlignment="1">
      <alignment horizontal="justify" vertical="center" wrapText="1"/>
    </xf>
    <xf numFmtId="3" fontId="37" fillId="0" borderId="16" xfId="0" applyNumberFormat="1" applyFont="1" applyBorder="1" applyAlignment="1">
      <alignment vertical="justify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4" fontId="29" fillId="0" borderId="0" xfId="95" applyNumberFormat="1" applyFont="1" applyBorder="1">
      <alignment vertical="top"/>
      <protection/>
    </xf>
    <xf numFmtId="0" fontId="38" fillId="0" borderId="0" xfId="0" applyFont="1" applyFill="1" applyBorder="1" applyAlignment="1">
      <alignment horizontal="left" vertical="center" wrapText="1"/>
    </xf>
    <xf numFmtId="184" fontId="34" fillId="0" borderId="0" xfId="95" applyNumberFormat="1" applyFont="1" applyBorder="1">
      <alignment vertical="top"/>
      <protection/>
    </xf>
    <xf numFmtId="4" fontId="38" fillId="0" borderId="0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4" fontId="39" fillId="0" borderId="0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 vertical="center" wrapText="1"/>
    </xf>
    <xf numFmtId="0" fontId="39" fillId="55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55" borderId="0" xfId="0" applyFont="1" applyFill="1" applyBorder="1" applyAlignment="1">
      <alignment vertical="center" wrapText="1"/>
    </xf>
    <xf numFmtId="4" fontId="38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 horizontal="left" vertical="justify"/>
    </xf>
    <xf numFmtId="0" fontId="38" fillId="55" borderId="0" xfId="0" applyFont="1" applyFill="1" applyBorder="1" applyAlignment="1">
      <alignment wrapText="1"/>
    </xf>
    <xf numFmtId="49" fontId="38" fillId="55" borderId="0" xfId="0" applyNumberFormat="1" applyFont="1" applyFill="1" applyBorder="1" applyAlignment="1">
      <alignment horizontal="left" wrapText="1"/>
    </xf>
    <xf numFmtId="0" fontId="39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39" fillId="0" borderId="0" xfId="0" applyFont="1" applyBorder="1" applyAlignment="1">
      <alignment horizontal="center" vertical="justify"/>
    </xf>
    <xf numFmtId="4" fontId="39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 vertical="justify"/>
    </xf>
    <xf numFmtId="0" fontId="27" fillId="0" borderId="0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9" fillId="0" borderId="16" xfId="0" applyFont="1" applyBorder="1" applyAlignment="1">
      <alignment horizontal="center" vertical="center" wrapText="1"/>
    </xf>
    <xf numFmtId="3" fontId="37" fillId="0" borderId="18" xfId="95" applyNumberFormat="1" applyFont="1" applyFill="1" applyBorder="1">
      <alignment vertical="top"/>
      <protection/>
    </xf>
    <xf numFmtId="49" fontId="38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 vertical="center" wrapText="1"/>
    </xf>
    <xf numFmtId="3" fontId="37" fillId="0" borderId="0" xfId="0" applyNumberFormat="1" applyFont="1" applyBorder="1" applyAlignment="1">
      <alignment vertical="justify"/>
    </xf>
    <xf numFmtId="3" fontId="34" fillId="0" borderId="0" xfId="0" applyNumberFormat="1" applyFont="1" applyBorder="1" applyAlignment="1">
      <alignment vertical="justify"/>
    </xf>
    <xf numFmtId="0" fontId="39" fillId="0" borderId="0" xfId="0" applyFont="1" applyBorder="1" applyAlignment="1">
      <alignment horizontal="justify" vertical="center" wrapText="1"/>
    </xf>
    <xf numFmtId="184" fontId="37" fillId="0" borderId="0" xfId="0" applyNumberFormat="1" applyFont="1" applyBorder="1" applyAlignment="1">
      <alignment vertical="justify"/>
    </xf>
    <xf numFmtId="3" fontId="34" fillId="0" borderId="0" xfId="95" applyNumberFormat="1" applyFont="1" applyBorder="1">
      <alignment vertical="top"/>
      <protection/>
    </xf>
    <xf numFmtId="49" fontId="39" fillId="0" borderId="16" xfId="0" applyNumberFormat="1" applyFont="1" applyBorder="1" applyAlignment="1">
      <alignment horizontal="center" vertical="center" wrapText="1"/>
    </xf>
    <xf numFmtId="184" fontId="34" fillId="0" borderId="16" xfId="95" applyNumberFormat="1" applyFont="1" applyFill="1" applyBorder="1" applyAlignment="1">
      <alignment horizontal="center" vertical="top"/>
      <protection/>
    </xf>
    <xf numFmtId="184" fontId="36" fillId="0" borderId="16" xfId="95" applyNumberFormat="1" applyFont="1" applyFill="1" applyBorder="1" applyAlignment="1">
      <alignment horizontal="left" vertical="top" wrapText="1"/>
      <protection/>
    </xf>
    <xf numFmtId="0" fontId="35" fillId="0" borderId="16" xfId="107" applyFont="1" applyFill="1" applyBorder="1" applyAlignment="1">
      <alignment horizontal="left" vertical="center" wrapText="1"/>
      <protection/>
    </xf>
    <xf numFmtId="0" fontId="27" fillId="0" borderId="16" xfId="0" applyFont="1" applyFill="1" applyBorder="1" applyAlignment="1">
      <alignment wrapText="1"/>
    </xf>
    <xf numFmtId="184" fontId="34" fillId="0" borderId="0" xfId="0" applyNumberFormat="1" applyFont="1" applyBorder="1" applyAlignment="1">
      <alignment vertical="justify"/>
    </xf>
    <xf numFmtId="0" fontId="0" fillId="0" borderId="0" xfId="0" applyFont="1" applyFill="1" applyBorder="1" applyAlignment="1">
      <alignment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6" xfId="0" applyFont="1" applyBorder="1" applyAlignment="1">
      <alignment horizontal="left" vertical="center" wrapText="1"/>
    </xf>
    <xf numFmtId="3" fontId="38" fillId="0" borderId="16" xfId="0" applyNumberFormat="1" applyFont="1" applyBorder="1" applyAlignment="1">
      <alignment horizontal="right" vertical="center" wrapText="1"/>
    </xf>
    <xf numFmtId="0" fontId="35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3" fontId="27" fillId="0" borderId="16" xfId="0" applyNumberFormat="1" applyFont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49" fontId="38" fillId="0" borderId="16" xfId="0" applyNumberFormat="1" applyFont="1" applyFill="1" applyBorder="1" applyAlignment="1" applyProtection="1">
      <alignment horizontal="center" vertical="center" wrapText="1"/>
      <protection/>
    </xf>
    <xf numFmtId="49" fontId="38" fillId="0" borderId="19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9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 applyProtection="1">
      <alignment horizontal="center" vertical="center" wrapText="1"/>
      <protection/>
    </xf>
    <xf numFmtId="3" fontId="35" fillId="0" borderId="16" xfId="0" applyNumberFormat="1" applyFont="1" applyBorder="1" applyAlignment="1">
      <alignment horizontal="right" vertical="center" wrapText="1"/>
    </xf>
    <xf numFmtId="3" fontId="35" fillId="0" borderId="16" xfId="0" applyNumberFormat="1" applyFont="1" applyBorder="1" applyAlignment="1">
      <alignment vertical="center" wrapText="1"/>
    </xf>
    <xf numFmtId="3" fontId="36" fillId="0" borderId="16" xfId="95" applyNumberFormat="1" applyFont="1" applyFill="1" applyBorder="1">
      <alignment vertical="top"/>
      <protection/>
    </xf>
    <xf numFmtId="3" fontId="42" fillId="0" borderId="16" xfId="95" applyNumberFormat="1" applyFont="1" applyFill="1" applyBorder="1">
      <alignment vertical="top"/>
      <protection/>
    </xf>
    <xf numFmtId="3" fontId="36" fillId="0" borderId="0" xfId="95" applyNumberFormat="1" applyFont="1" applyFill="1" applyBorder="1">
      <alignment vertical="top"/>
      <protection/>
    </xf>
    <xf numFmtId="3" fontId="42" fillId="0" borderId="16" xfId="95" applyNumberFormat="1" applyFont="1" applyFill="1" applyBorder="1" applyAlignment="1">
      <alignment horizontal="right" vertical="top"/>
      <protection/>
    </xf>
    <xf numFmtId="3" fontId="42" fillId="0" borderId="0" xfId="0" applyNumberFormat="1" applyFont="1" applyBorder="1" applyAlignment="1">
      <alignment vertical="justify"/>
    </xf>
    <xf numFmtId="3" fontId="36" fillId="0" borderId="16" xfId="0" applyNumberFormat="1" applyFont="1" applyBorder="1" applyAlignment="1">
      <alignment vertical="justify"/>
    </xf>
    <xf numFmtId="3" fontId="42" fillId="0" borderId="16" xfId="0" applyNumberFormat="1" applyFont="1" applyBorder="1" applyAlignment="1">
      <alignment vertical="justify"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left" vertical="center" wrapText="1"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left" vertical="center" wrapText="1"/>
    </xf>
    <xf numFmtId="0" fontId="27" fillId="0" borderId="16" xfId="0" applyFont="1" applyBorder="1" applyAlignment="1">
      <alignment/>
    </xf>
    <xf numFmtId="0" fontId="39" fillId="55" borderId="16" xfId="0" applyFont="1" applyFill="1" applyBorder="1" applyAlignment="1">
      <alignment horizontal="center" wrapText="1"/>
    </xf>
    <xf numFmtId="0" fontId="35" fillId="55" borderId="16" xfId="0" applyFont="1" applyFill="1" applyBorder="1" applyAlignment="1">
      <alignment horizontal="left" wrapText="1"/>
    </xf>
    <xf numFmtId="184" fontId="34" fillId="0" borderId="0" xfId="0" applyNumberFormat="1" applyFont="1" applyBorder="1" applyAlignment="1">
      <alignment horizontal="center" vertical="justify"/>
    </xf>
    <xf numFmtId="184" fontId="34" fillId="0" borderId="16" xfId="0" applyNumberFormat="1" applyFont="1" applyBorder="1" applyAlignment="1">
      <alignment vertical="justify"/>
    </xf>
    <xf numFmtId="3" fontId="35" fillId="0" borderId="16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 vertical="center" wrapText="1"/>
    </xf>
    <xf numFmtId="3" fontId="37" fillId="0" borderId="0" xfId="95" applyNumberFormat="1" applyFont="1" applyFill="1" applyBorder="1">
      <alignment vertical="top"/>
      <protection/>
    </xf>
    <xf numFmtId="3" fontId="34" fillId="0" borderId="0" xfId="95" applyNumberFormat="1" applyFont="1" applyFill="1" applyBorder="1">
      <alignment vertical="top"/>
      <protection/>
    </xf>
    <xf numFmtId="0" fontId="27" fillId="0" borderId="16" xfId="0" applyFont="1" applyFill="1" applyBorder="1" applyAlignment="1">
      <alignment horizontal="center" vertical="center" wrapText="1"/>
    </xf>
    <xf numFmtId="3" fontId="38" fillId="0" borderId="16" xfId="0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justify" vertical="center" wrapText="1"/>
    </xf>
    <xf numFmtId="3" fontId="36" fillId="0" borderId="0" xfId="0" applyNumberFormat="1" applyFont="1" applyBorder="1" applyAlignment="1">
      <alignment vertical="justify"/>
    </xf>
    <xf numFmtId="0" fontId="35" fillId="0" borderId="16" xfId="0" applyFont="1" applyBorder="1" applyAlignment="1">
      <alignment horizontal="justify" vertical="center" wrapText="1"/>
    </xf>
    <xf numFmtId="0" fontId="35" fillId="0" borderId="16" xfId="0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7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justify" vertical="center" wrapText="1"/>
    </xf>
    <xf numFmtId="0" fontId="27" fillId="55" borderId="16" xfId="0" applyFont="1" applyFill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3" fontId="36" fillId="0" borderId="16" xfId="0" applyNumberFormat="1" applyFont="1" applyBorder="1" applyAlignment="1">
      <alignment vertical="center"/>
    </xf>
    <xf numFmtId="2" fontId="36" fillId="0" borderId="0" xfId="0" applyNumberFormat="1" applyFont="1" applyBorder="1" applyAlignment="1">
      <alignment vertical="justify" wrapText="1"/>
    </xf>
    <xf numFmtId="2" fontId="42" fillId="0" borderId="0" xfId="0" applyNumberFormat="1" applyFont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left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left" vertical="center" wrapText="1"/>
    </xf>
    <xf numFmtId="49" fontId="39" fillId="4" borderId="16" xfId="0" applyNumberFormat="1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49" fontId="27" fillId="4" borderId="16" xfId="0" applyNumberFormat="1" applyFont="1" applyFill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3" fontId="42" fillId="0" borderId="22" xfId="0" applyNumberFormat="1" applyFont="1" applyBorder="1" applyAlignment="1">
      <alignment vertical="justify"/>
    </xf>
    <xf numFmtId="3" fontId="36" fillId="0" borderId="22" xfId="0" applyNumberFormat="1" applyFont="1" applyBorder="1" applyAlignment="1">
      <alignment vertical="justify"/>
    </xf>
    <xf numFmtId="0" fontId="0" fillId="0" borderId="0" xfId="0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3" fontId="39" fillId="0" borderId="16" xfId="0" applyNumberFormat="1" applyFont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9" fillId="0" borderId="20" xfId="0" applyFont="1" applyBorder="1" applyAlignment="1">
      <alignment horizontal="justify" vertical="center" wrapText="1"/>
    </xf>
    <xf numFmtId="0" fontId="0" fillId="0" borderId="18" xfId="0" applyBorder="1" applyAlignment="1">
      <alignment/>
    </xf>
    <xf numFmtId="0" fontId="0" fillId="0" borderId="0" xfId="0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" fontId="27" fillId="0" borderId="22" xfId="0" applyNumberFormat="1" applyFont="1" applyBorder="1" applyAlignment="1">
      <alignment horizontal="center" vertical="center" wrapText="1"/>
    </xf>
    <xf numFmtId="2" fontId="27" fillId="0" borderId="22" xfId="0" applyNumberFormat="1" applyFont="1" applyBorder="1" applyAlignment="1">
      <alignment wrapText="1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/>
    </xf>
    <xf numFmtId="0" fontId="0" fillId="0" borderId="17" xfId="0" applyBorder="1" applyAlignment="1">
      <alignment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9" fontId="27" fillId="0" borderId="22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7" fillId="0" borderId="0" xfId="0" applyFont="1" applyAlignment="1">
      <alignment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3 2" xfId="106"/>
    <cellStyle name="Обычный 3 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7"/>
  <sheetViews>
    <sheetView tabSelected="1" zoomScale="75" zoomScaleNormal="75" zoomScalePageLayoutView="0" workbookViewId="0" topLeftCell="A1">
      <selection activeCell="K15" sqref="K15"/>
    </sheetView>
  </sheetViews>
  <sheetFormatPr defaultColWidth="9.16015625" defaultRowHeight="12.75"/>
  <cols>
    <col min="1" max="1" width="3.33203125" style="1" customWidth="1"/>
    <col min="2" max="2" width="3.66015625" style="7" customWidth="1"/>
    <col min="3" max="3" width="18.66015625" style="7" customWidth="1"/>
    <col min="4" max="4" width="20.33203125" style="7" customWidth="1"/>
    <col min="5" max="5" width="15" style="7" customWidth="1"/>
    <col min="6" max="6" width="75.16015625" style="7" customWidth="1"/>
    <col min="7" max="7" width="101.33203125" style="1" customWidth="1"/>
    <col min="8" max="8" width="17.33203125" style="1" customWidth="1"/>
    <col min="9" max="9" width="12" style="1" customWidth="1"/>
    <col min="10" max="10" width="13.66015625" style="1" customWidth="1"/>
    <col min="11" max="11" width="22.83203125" style="1" customWidth="1"/>
    <col min="12" max="16384" width="9.16015625" style="12" customWidth="1"/>
  </cols>
  <sheetData>
    <row r="1" spans="1:11" s="3" customFormat="1" ht="10.5" customHeight="1">
      <c r="A1" s="2"/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4:11" ht="50.25" customHeight="1">
      <c r="D2" s="189"/>
      <c r="H2" s="190" t="s">
        <v>508</v>
      </c>
      <c r="I2" s="190"/>
      <c r="J2" s="190"/>
      <c r="K2" s="190"/>
    </row>
    <row r="3" spans="4:11" ht="22.5" customHeight="1">
      <c r="D3" s="189"/>
      <c r="H3" s="190" t="s">
        <v>398</v>
      </c>
      <c r="I3" s="191"/>
      <c r="J3" s="191"/>
      <c r="K3" s="191"/>
    </row>
    <row r="4" spans="4:11" ht="15" customHeight="1">
      <c r="D4" s="189"/>
      <c r="H4" s="190" t="s">
        <v>547</v>
      </c>
      <c r="I4" s="191"/>
      <c r="J4" s="191"/>
      <c r="K4" s="191"/>
    </row>
    <row r="5" spans="4:11" ht="11.25" customHeight="1">
      <c r="D5" s="189"/>
      <c r="H5" s="11"/>
      <c r="I5" s="11"/>
      <c r="J5" s="11"/>
      <c r="K5" s="11"/>
    </row>
    <row r="6" spans="4:11" ht="14.25" customHeight="1">
      <c r="D6" s="189"/>
      <c r="H6" s="11"/>
      <c r="I6" s="11"/>
      <c r="J6" s="11"/>
      <c r="K6" s="11"/>
    </row>
    <row r="7" spans="2:11" ht="45" customHeight="1">
      <c r="B7" s="192" t="s">
        <v>193</v>
      </c>
      <c r="C7" s="193"/>
      <c r="D7" s="193"/>
      <c r="E7" s="193"/>
      <c r="F7" s="193"/>
      <c r="G7" s="193"/>
      <c r="H7" s="193"/>
      <c r="I7" s="193"/>
      <c r="J7" s="193"/>
      <c r="K7" s="193"/>
    </row>
    <row r="8" spans="2:11" ht="12" customHeight="1">
      <c r="B8" s="53"/>
      <c r="C8" s="8"/>
      <c r="D8" s="8"/>
      <c r="E8" s="8"/>
      <c r="F8" s="61"/>
      <c r="G8" s="13"/>
      <c r="H8" s="13"/>
      <c r="I8" s="9"/>
      <c r="J8" s="13"/>
      <c r="K8" s="5" t="s">
        <v>185</v>
      </c>
    </row>
    <row r="9" spans="1:11" ht="111" customHeight="1">
      <c r="A9" s="14"/>
      <c r="B9" s="54"/>
      <c r="C9" s="4" t="s">
        <v>188</v>
      </c>
      <c r="D9" s="10" t="s">
        <v>191</v>
      </c>
      <c r="E9" s="4" t="s">
        <v>189</v>
      </c>
      <c r="F9" s="4" t="s">
        <v>192</v>
      </c>
      <c r="G9" s="6" t="s">
        <v>184</v>
      </c>
      <c r="H9" s="6" t="s">
        <v>180</v>
      </c>
      <c r="I9" s="15" t="s">
        <v>181</v>
      </c>
      <c r="J9" s="16" t="s">
        <v>182</v>
      </c>
      <c r="K9" s="6" t="s">
        <v>183</v>
      </c>
    </row>
    <row r="10" spans="1:11" ht="36" customHeight="1">
      <c r="A10" s="14"/>
      <c r="B10" s="54"/>
      <c r="C10" s="76">
        <v>1500000</v>
      </c>
      <c r="D10" s="10"/>
      <c r="E10" s="75"/>
      <c r="F10" s="112" t="s">
        <v>186</v>
      </c>
      <c r="G10" s="6"/>
      <c r="H10" s="6"/>
      <c r="I10" s="15"/>
      <c r="J10" s="16"/>
      <c r="K10" s="84">
        <f>SUM(K11,K36,K49,K60,K66,K69)</f>
        <v>57873899</v>
      </c>
    </row>
    <row r="11" spans="1:11" ht="26.25" customHeight="1">
      <c r="A11" s="14"/>
      <c r="B11" s="54"/>
      <c r="C11" s="78"/>
      <c r="D11" s="78"/>
      <c r="E11" s="79"/>
      <c r="F11" s="78"/>
      <c r="G11" s="77" t="s">
        <v>251</v>
      </c>
      <c r="H11" s="77"/>
      <c r="I11" s="77"/>
      <c r="J11" s="77"/>
      <c r="K11" s="84">
        <f>SUM(K12,K30:K34)</f>
        <v>23696580</v>
      </c>
    </row>
    <row r="12" spans="1:11" ht="46.5" customHeight="1">
      <c r="A12" s="14"/>
      <c r="B12" s="54"/>
      <c r="C12" s="103">
        <v>1517320</v>
      </c>
      <c r="D12" s="103">
        <v>7320</v>
      </c>
      <c r="E12" s="104"/>
      <c r="F12" s="105" t="s">
        <v>359</v>
      </c>
      <c r="G12" s="105"/>
      <c r="H12" s="77"/>
      <c r="I12" s="77"/>
      <c r="J12" s="77"/>
      <c r="K12" s="84">
        <f>SUM(K13:K29)</f>
        <v>10440616</v>
      </c>
    </row>
    <row r="13" spans="1:11" ht="48.75" customHeight="1">
      <c r="A13" s="14"/>
      <c r="B13" s="54"/>
      <c r="C13" s="89">
        <v>1517321</v>
      </c>
      <c r="D13" s="89">
        <v>7321</v>
      </c>
      <c r="E13" s="90" t="s">
        <v>206</v>
      </c>
      <c r="F13" s="106" t="s">
        <v>360</v>
      </c>
      <c r="G13" s="80" t="s">
        <v>252</v>
      </c>
      <c r="H13" s="77"/>
      <c r="I13" s="77"/>
      <c r="J13" s="77"/>
      <c r="K13" s="94">
        <f>20000+720000+720000-30000</f>
        <v>1430000</v>
      </c>
    </row>
    <row r="14" spans="1:11" ht="47.25" customHeight="1">
      <c r="A14" s="14"/>
      <c r="B14" s="54"/>
      <c r="C14" s="89">
        <v>1517321</v>
      </c>
      <c r="D14" s="89">
        <v>7321</v>
      </c>
      <c r="E14" s="90" t="s">
        <v>206</v>
      </c>
      <c r="F14" s="106" t="s">
        <v>360</v>
      </c>
      <c r="G14" s="80" t="s">
        <v>253</v>
      </c>
      <c r="H14" s="77"/>
      <c r="I14" s="77"/>
      <c r="J14" s="77"/>
      <c r="K14" s="94">
        <f>900000-340000+65000-75400</f>
        <v>549600</v>
      </c>
    </row>
    <row r="15" spans="1:11" ht="46.5" customHeight="1">
      <c r="A15" s="14"/>
      <c r="B15" s="54"/>
      <c r="C15" s="89">
        <v>1517321</v>
      </c>
      <c r="D15" s="89">
        <v>7321</v>
      </c>
      <c r="E15" s="90" t="s">
        <v>206</v>
      </c>
      <c r="F15" s="106" t="s">
        <v>360</v>
      </c>
      <c r="G15" s="80" t="s">
        <v>254</v>
      </c>
      <c r="H15" s="77"/>
      <c r="I15" s="77"/>
      <c r="J15" s="77"/>
      <c r="K15" s="94">
        <v>50000</v>
      </c>
    </row>
    <row r="16" spans="1:11" ht="45" customHeight="1">
      <c r="A16" s="14"/>
      <c r="B16" s="54"/>
      <c r="C16" s="89">
        <v>1517321</v>
      </c>
      <c r="D16" s="89">
        <v>7321</v>
      </c>
      <c r="E16" s="90" t="s">
        <v>206</v>
      </c>
      <c r="F16" s="106" t="s">
        <v>360</v>
      </c>
      <c r="G16" s="80" t="s">
        <v>255</v>
      </c>
      <c r="H16" s="77"/>
      <c r="I16" s="77"/>
      <c r="J16" s="77"/>
      <c r="K16" s="94">
        <f>20000+2250000-1038000+300000</f>
        <v>1532000</v>
      </c>
    </row>
    <row r="17" spans="1:11" ht="48" customHeight="1">
      <c r="A17" s="14"/>
      <c r="B17" s="54"/>
      <c r="C17" s="89">
        <v>1517321</v>
      </c>
      <c r="D17" s="89">
        <v>7321</v>
      </c>
      <c r="E17" s="90" t="s">
        <v>206</v>
      </c>
      <c r="F17" s="106" t="s">
        <v>360</v>
      </c>
      <c r="G17" s="80" t="s">
        <v>256</v>
      </c>
      <c r="H17" s="77"/>
      <c r="I17" s="77"/>
      <c r="J17" s="77"/>
      <c r="K17" s="94">
        <f>20000+500000-8919</f>
        <v>511081</v>
      </c>
    </row>
    <row r="18" spans="1:11" ht="50.25" customHeight="1">
      <c r="A18" s="14"/>
      <c r="B18" s="54"/>
      <c r="C18" s="89">
        <v>1517321</v>
      </c>
      <c r="D18" s="89">
        <v>7321</v>
      </c>
      <c r="E18" s="90" t="s">
        <v>206</v>
      </c>
      <c r="F18" s="106" t="s">
        <v>360</v>
      </c>
      <c r="G18" s="80" t="s">
        <v>257</v>
      </c>
      <c r="H18" s="77"/>
      <c r="I18" s="77"/>
      <c r="J18" s="77"/>
      <c r="K18" s="94">
        <f>30000+370000-190000-13438</f>
        <v>196562</v>
      </c>
    </row>
    <row r="19" spans="1:11" ht="47.25" customHeight="1">
      <c r="A19" s="14"/>
      <c r="B19" s="54"/>
      <c r="C19" s="89">
        <v>1517321</v>
      </c>
      <c r="D19" s="89">
        <v>7321</v>
      </c>
      <c r="E19" s="90" t="s">
        <v>206</v>
      </c>
      <c r="F19" s="106" t="s">
        <v>360</v>
      </c>
      <c r="G19" s="80" t="s">
        <v>258</v>
      </c>
      <c r="H19" s="77"/>
      <c r="I19" s="77"/>
      <c r="J19" s="77"/>
      <c r="K19" s="94">
        <f>30000+370000-60000-14870</f>
        <v>325130</v>
      </c>
    </row>
    <row r="20" spans="1:11" ht="44.25" customHeight="1">
      <c r="A20" s="14"/>
      <c r="B20" s="54"/>
      <c r="C20" s="89">
        <v>1517321</v>
      </c>
      <c r="D20" s="89">
        <v>7321</v>
      </c>
      <c r="E20" s="90" t="s">
        <v>206</v>
      </c>
      <c r="F20" s="106" t="s">
        <v>360</v>
      </c>
      <c r="G20" s="80" t="s">
        <v>259</v>
      </c>
      <c r="H20" s="77"/>
      <c r="I20" s="77"/>
      <c r="J20" s="77"/>
      <c r="K20" s="94">
        <f>20000+1470000-20000</f>
        <v>1470000</v>
      </c>
    </row>
    <row r="21" spans="1:11" ht="45.75" customHeight="1">
      <c r="A21" s="14"/>
      <c r="B21" s="54"/>
      <c r="C21" s="89">
        <v>1517321</v>
      </c>
      <c r="D21" s="89">
        <v>7321</v>
      </c>
      <c r="E21" s="90" t="s">
        <v>206</v>
      </c>
      <c r="F21" s="106" t="s">
        <v>360</v>
      </c>
      <c r="G21" s="80" t="s">
        <v>513</v>
      </c>
      <c r="H21" s="77"/>
      <c r="I21" s="77"/>
      <c r="J21" s="77"/>
      <c r="K21" s="94">
        <f>1038000-983000</f>
        <v>55000</v>
      </c>
    </row>
    <row r="22" spans="1:11" ht="49.5" customHeight="1">
      <c r="A22" s="14"/>
      <c r="B22" s="54"/>
      <c r="C22" s="89">
        <v>1517321</v>
      </c>
      <c r="D22" s="89">
        <v>7321</v>
      </c>
      <c r="E22" s="90" t="s">
        <v>206</v>
      </c>
      <c r="F22" s="106" t="s">
        <v>360</v>
      </c>
      <c r="G22" s="80" t="s">
        <v>260</v>
      </c>
      <c r="H22" s="77"/>
      <c r="I22" s="77"/>
      <c r="J22" s="77"/>
      <c r="K22" s="94">
        <f>20000+1470000-26000</f>
        <v>1464000</v>
      </c>
    </row>
    <row r="23" spans="1:11" ht="50.25" customHeight="1">
      <c r="A23" s="14"/>
      <c r="B23" s="54"/>
      <c r="C23" s="89">
        <v>1517321</v>
      </c>
      <c r="D23" s="89">
        <v>7321</v>
      </c>
      <c r="E23" s="90" t="s">
        <v>206</v>
      </c>
      <c r="F23" s="106" t="s">
        <v>360</v>
      </c>
      <c r="G23" s="80" t="s">
        <v>261</v>
      </c>
      <c r="H23" s="77"/>
      <c r="I23" s="77"/>
      <c r="J23" s="77"/>
      <c r="K23" s="94">
        <f>745000-9000-1659</f>
        <v>734341</v>
      </c>
    </row>
    <row r="24" spans="1:11" ht="72" customHeight="1">
      <c r="A24" s="14"/>
      <c r="B24" s="54"/>
      <c r="C24" s="89">
        <v>1517321</v>
      </c>
      <c r="D24" s="89">
        <v>7321</v>
      </c>
      <c r="E24" s="90" t="s">
        <v>206</v>
      </c>
      <c r="F24" s="106" t="s">
        <v>360</v>
      </c>
      <c r="G24" s="80" t="s">
        <v>262</v>
      </c>
      <c r="H24" s="77"/>
      <c r="I24" s="77"/>
      <c r="J24" s="77"/>
      <c r="K24" s="94">
        <f>20000+1000000-1000000-15930</f>
        <v>4070</v>
      </c>
    </row>
    <row r="25" spans="1:11" ht="50.25" customHeight="1">
      <c r="A25" s="14"/>
      <c r="B25" s="54"/>
      <c r="C25" s="89">
        <v>1517321</v>
      </c>
      <c r="D25" s="89">
        <v>7321</v>
      </c>
      <c r="E25" s="90" t="s">
        <v>206</v>
      </c>
      <c r="F25" s="106" t="s">
        <v>360</v>
      </c>
      <c r="G25" s="80" t="s">
        <v>399</v>
      </c>
      <c r="H25" s="77"/>
      <c r="I25" s="77"/>
      <c r="J25" s="77"/>
      <c r="K25" s="94">
        <f>1485000-115000-26168</f>
        <v>1343832</v>
      </c>
    </row>
    <row r="26" spans="1:11" ht="49.5" customHeight="1">
      <c r="A26" s="14"/>
      <c r="B26" s="54"/>
      <c r="C26" s="89">
        <v>1517321</v>
      </c>
      <c r="D26" s="89">
        <v>7321</v>
      </c>
      <c r="E26" s="90" t="s">
        <v>206</v>
      </c>
      <c r="F26" s="106" t="s">
        <v>360</v>
      </c>
      <c r="G26" s="80" t="s">
        <v>400</v>
      </c>
      <c r="H26" s="77"/>
      <c r="I26" s="77"/>
      <c r="J26" s="77"/>
      <c r="K26" s="94">
        <f>50000-20000</f>
        <v>30000</v>
      </c>
    </row>
    <row r="27" spans="1:11" ht="49.5" customHeight="1">
      <c r="A27" s="14"/>
      <c r="B27" s="54"/>
      <c r="C27" s="89">
        <v>1517321</v>
      </c>
      <c r="D27" s="89">
        <v>7321</v>
      </c>
      <c r="E27" s="90" t="s">
        <v>206</v>
      </c>
      <c r="F27" s="106" t="s">
        <v>360</v>
      </c>
      <c r="G27" s="80" t="s">
        <v>514</v>
      </c>
      <c r="H27" s="77"/>
      <c r="I27" s="77"/>
      <c r="J27" s="77"/>
      <c r="K27" s="94">
        <v>55000</v>
      </c>
    </row>
    <row r="28" spans="1:11" ht="94.5" customHeight="1">
      <c r="A28" s="14"/>
      <c r="B28" s="54"/>
      <c r="C28" s="89">
        <v>1517321</v>
      </c>
      <c r="D28" s="89">
        <v>7321</v>
      </c>
      <c r="E28" s="90" t="s">
        <v>206</v>
      </c>
      <c r="F28" s="106" t="s">
        <v>360</v>
      </c>
      <c r="G28" s="80" t="s">
        <v>539</v>
      </c>
      <c r="H28" s="77"/>
      <c r="I28" s="77"/>
      <c r="J28" s="77"/>
      <c r="K28" s="94">
        <f>35000+310000</f>
        <v>345000</v>
      </c>
    </row>
    <row r="29" spans="1:11" ht="102" customHeight="1">
      <c r="A29" s="14"/>
      <c r="B29" s="54"/>
      <c r="C29" s="89">
        <v>1517321</v>
      </c>
      <c r="D29" s="89">
        <v>7321</v>
      </c>
      <c r="E29" s="90" t="s">
        <v>206</v>
      </c>
      <c r="F29" s="106" t="s">
        <v>360</v>
      </c>
      <c r="G29" s="80" t="s">
        <v>540</v>
      </c>
      <c r="H29" s="77"/>
      <c r="I29" s="77"/>
      <c r="J29" s="77"/>
      <c r="K29" s="94">
        <f>35000+310000</f>
        <v>345000</v>
      </c>
    </row>
    <row r="30" spans="1:11" ht="31.5" customHeight="1">
      <c r="A30" s="14"/>
      <c r="B30" s="54"/>
      <c r="C30" s="89" t="s">
        <v>361</v>
      </c>
      <c r="D30" s="89" t="s">
        <v>362</v>
      </c>
      <c r="E30" s="90" t="s">
        <v>363</v>
      </c>
      <c r="F30" s="106" t="s">
        <v>366</v>
      </c>
      <c r="G30" s="80" t="s">
        <v>264</v>
      </c>
      <c r="H30" s="77"/>
      <c r="I30" s="77"/>
      <c r="J30" s="77"/>
      <c r="K30" s="94">
        <f>190000+410000+1220000+280000+490000</f>
        <v>2590000</v>
      </c>
    </row>
    <row r="31" spans="1:11" ht="94.5" customHeight="1">
      <c r="A31" s="14"/>
      <c r="B31" s="54"/>
      <c r="C31" s="89" t="s">
        <v>222</v>
      </c>
      <c r="D31" s="89" t="s">
        <v>223</v>
      </c>
      <c r="E31" s="90" t="s">
        <v>224</v>
      </c>
      <c r="F31" s="106" t="s">
        <v>367</v>
      </c>
      <c r="G31" s="80" t="s">
        <v>263</v>
      </c>
      <c r="H31" s="77"/>
      <c r="I31" s="77"/>
      <c r="J31" s="77"/>
      <c r="K31" s="94">
        <f>630000-410000+1900000+3900000+590000+1697498-785000-80000+1083819+409647</f>
        <v>8935964</v>
      </c>
    </row>
    <row r="32" spans="1:11" ht="46.5" customHeight="1">
      <c r="A32" s="14"/>
      <c r="B32" s="54"/>
      <c r="C32" s="89" t="s">
        <v>401</v>
      </c>
      <c r="D32" s="89" t="s">
        <v>402</v>
      </c>
      <c r="E32" s="90" t="s">
        <v>224</v>
      </c>
      <c r="F32" s="106" t="s">
        <v>403</v>
      </c>
      <c r="G32" s="80" t="s">
        <v>404</v>
      </c>
      <c r="H32" s="77"/>
      <c r="I32" s="77"/>
      <c r="J32" s="77"/>
      <c r="K32" s="94">
        <v>20000</v>
      </c>
    </row>
    <row r="33" spans="1:11" ht="75" customHeight="1">
      <c r="A33" s="14"/>
      <c r="B33" s="54"/>
      <c r="C33" s="89" t="s">
        <v>405</v>
      </c>
      <c r="D33" s="89" t="s">
        <v>406</v>
      </c>
      <c r="E33" s="90" t="s">
        <v>407</v>
      </c>
      <c r="F33" s="106" t="s">
        <v>408</v>
      </c>
      <c r="G33" s="80" t="s">
        <v>409</v>
      </c>
      <c r="H33" s="77"/>
      <c r="I33" s="77"/>
      <c r="J33" s="77"/>
      <c r="K33" s="94">
        <f>60000+120000</f>
        <v>180000</v>
      </c>
    </row>
    <row r="34" spans="1:11" ht="53.25" customHeight="1">
      <c r="A34" s="14"/>
      <c r="B34" s="54"/>
      <c r="C34" s="91" t="s">
        <v>368</v>
      </c>
      <c r="D34" s="91" t="s">
        <v>369</v>
      </c>
      <c r="E34" s="92"/>
      <c r="F34" s="107" t="s">
        <v>370</v>
      </c>
      <c r="G34" s="80"/>
      <c r="H34" s="77"/>
      <c r="I34" s="77"/>
      <c r="J34" s="77"/>
      <c r="K34" s="85">
        <f>20000+80000+1430000</f>
        <v>1530000</v>
      </c>
    </row>
    <row r="35" spans="1:11" ht="51" customHeight="1">
      <c r="A35" s="14"/>
      <c r="B35" s="54"/>
      <c r="C35" s="89" t="s">
        <v>364</v>
      </c>
      <c r="D35" s="89" t="s">
        <v>365</v>
      </c>
      <c r="E35" s="90" t="s">
        <v>353</v>
      </c>
      <c r="F35" s="106" t="s">
        <v>371</v>
      </c>
      <c r="G35" s="80" t="s">
        <v>265</v>
      </c>
      <c r="H35" s="77"/>
      <c r="I35" s="77"/>
      <c r="J35" s="77"/>
      <c r="K35" s="94">
        <f>20000+80000+1430000</f>
        <v>1530000</v>
      </c>
    </row>
    <row r="36" spans="1:11" ht="27.75" customHeight="1">
      <c r="A36" s="14"/>
      <c r="B36" s="54"/>
      <c r="C36" s="91"/>
      <c r="D36" s="91"/>
      <c r="E36" s="92"/>
      <c r="F36" s="78"/>
      <c r="G36" s="77" t="s">
        <v>266</v>
      </c>
      <c r="H36" s="77"/>
      <c r="I36" s="77"/>
      <c r="J36" s="77"/>
      <c r="K36" s="85">
        <f>SUM(K37,K42:K47)</f>
        <v>4524200</v>
      </c>
    </row>
    <row r="37" spans="1:11" ht="52.5" customHeight="1">
      <c r="A37" s="14"/>
      <c r="B37" s="54"/>
      <c r="C37" s="103">
        <v>1517320</v>
      </c>
      <c r="D37" s="103">
        <v>7320</v>
      </c>
      <c r="E37" s="104"/>
      <c r="F37" s="105" t="s">
        <v>359</v>
      </c>
      <c r="G37" s="77"/>
      <c r="H37" s="77"/>
      <c r="I37" s="77"/>
      <c r="J37" s="77"/>
      <c r="K37" s="85">
        <f>3610000-1161900+70000-150000</f>
        <v>2368100</v>
      </c>
    </row>
    <row r="38" spans="1:11" ht="51.75" customHeight="1">
      <c r="A38" s="14"/>
      <c r="B38" s="54"/>
      <c r="C38" s="89" t="s">
        <v>342</v>
      </c>
      <c r="D38" s="89" t="s">
        <v>343</v>
      </c>
      <c r="E38" s="90" t="s">
        <v>206</v>
      </c>
      <c r="F38" s="106" t="s">
        <v>372</v>
      </c>
      <c r="G38" s="80" t="s">
        <v>267</v>
      </c>
      <c r="H38" s="77"/>
      <c r="I38" s="77"/>
      <c r="J38" s="77"/>
      <c r="K38" s="81">
        <f>20000+1000000+475000</f>
        <v>1495000</v>
      </c>
    </row>
    <row r="39" spans="1:11" ht="48.75" customHeight="1">
      <c r="A39" s="14"/>
      <c r="B39" s="54"/>
      <c r="C39" s="89" t="s">
        <v>342</v>
      </c>
      <c r="D39" s="89" t="s">
        <v>343</v>
      </c>
      <c r="E39" s="90" t="s">
        <v>206</v>
      </c>
      <c r="F39" s="106" t="s">
        <v>372</v>
      </c>
      <c r="G39" s="80" t="s">
        <v>269</v>
      </c>
      <c r="H39" s="77"/>
      <c r="I39" s="77"/>
      <c r="J39" s="77"/>
      <c r="K39" s="81">
        <f>15000+1150000-1161900</f>
        <v>3100</v>
      </c>
    </row>
    <row r="40" spans="1:11" ht="48.75" customHeight="1">
      <c r="A40" s="14"/>
      <c r="B40" s="54"/>
      <c r="C40" s="89" t="s">
        <v>342</v>
      </c>
      <c r="D40" s="89" t="s">
        <v>343</v>
      </c>
      <c r="E40" s="90" t="s">
        <v>206</v>
      </c>
      <c r="F40" s="106" t="s">
        <v>372</v>
      </c>
      <c r="G40" s="80" t="s">
        <v>89</v>
      </c>
      <c r="H40" s="77"/>
      <c r="I40" s="77"/>
      <c r="J40" s="77"/>
      <c r="K40" s="81">
        <v>100000</v>
      </c>
    </row>
    <row r="41" spans="1:11" ht="48.75" customHeight="1">
      <c r="A41" s="14"/>
      <c r="B41" s="54"/>
      <c r="C41" s="89" t="s">
        <v>342</v>
      </c>
      <c r="D41" s="89" t="s">
        <v>343</v>
      </c>
      <c r="E41" s="90" t="s">
        <v>206</v>
      </c>
      <c r="F41" s="106" t="s">
        <v>372</v>
      </c>
      <c r="G41" s="80" t="s">
        <v>469</v>
      </c>
      <c r="H41" s="77"/>
      <c r="I41" s="77"/>
      <c r="J41" s="77"/>
      <c r="K41" s="81">
        <f>100000+600000+70000</f>
        <v>770000</v>
      </c>
    </row>
    <row r="42" spans="1:11" ht="51.75" customHeight="1">
      <c r="A42" s="14"/>
      <c r="B42" s="54"/>
      <c r="C42" s="89" t="s">
        <v>345</v>
      </c>
      <c r="D42" s="89" t="s">
        <v>346</v>
      </c>
      <c r="E42" s="90" t="s">
        <v>347</v>
      </c>
      <c r="F42" s="106" t="s">
        <v>373</v>
      </c>
      <c r="G42" s="80" t="s">
        <v>410</v>
      </c>
      <c r="H42" s="77"/>
      <c r="I42" s="77"/>
      <c r="J42" s="77"/>
      <c r="K42" s="81">
        <f>400000-70000</f>
        <v>330000</v>
      </c>
    </row>
    <row r="43" spans="1:11" ht="73.5" customHeight="1">
      <c r="A43" s="14"/>
      <c r="B43" s="54"/>
      <c r="C43" s="89" t="s">
        <v>345</v>
      </c>
      <c r="D43" s="89" t="s">
        <v>346</v>
      </c>
      <c r="E43" s="90" t="s">
        <v>347</v>
      </c>
      <c r="F43" s="106" t="s">
        <v>373</v>
      </c>
      <c r="G43" s="80" t="s">
        <v>95</v>
      </c>
      <c r="H43" s="77"/>
      <c r="I43" s="77"/>
      <c r="J43" s="77"/>
      <c r="K43" s="81">
        <f>80000-47923</f>
        <v>32077</v>
      </c>
    </row>
    <row r="44" spans="1:11" ht="53.25" customHeight="1">
      <c r="A44" s="14"/>
      <c r="B44" s="54"/>
      <c r="C44" s="89" t="s">
        <v>345</v>
      </c>
      <c r="D44" s="89" t="s">
        <v>346</v>
      </c>
      <c r="E44" s="90" t="s">
        <v>347</v>
      </c>
      <c r="F44" s="106" t="s">
        <v>373</v>
      </c>
      <c r="G44" s="80" t="s">
        <v>470</v>
      </c>
      <c r="H44" s="77"/>
      <c r="I44" s="77"/>
      <c r="J44" s="77"/>
      <c r="K44" s="81">
        <v>230000</v>
      </c>
    </row>
    <row r="45" spans="1:11" ht="49.5" customHeight="1">
      <c r="A45" s="14"/>
      <c r="B45" s="54"/>
      <c r="C45" s="89" t="s">
        <v>345</v>
      </c>
      <c r="D45" s="89" t="s">
        <v>346</v>
      </c>
      <c r="E45" s="90" t="s">
        <v>347</v>
      </c>
      <c r="F45" s="106" t="s">
        <v>373</v>
      </c>
      <c r="G45" s="19" t="s">
        <v>21</v>
      </c>
      <c r="H45" s="122"/>
      <c r="I45" s="122"/>
      <c r="J45" s="122"/>
      <c r="K45" s="123">
        <f>50000+405000+200000-115000</f>
        <v>540000</v>
      </c>
    </row>
    <row r="46" spans="1:11" ht="66.75" customHeight="1">
      <c r="A46" s="14"/>
      <c r="B46" s="54"/>
      <c r="C46" s="89" t="s">
        <v>345</v>
      </c>
      <c r="D46" s="89" t="s">
        <v>346</v>
      </c>
      <c r="E46" s="90" t="s">
        <v>347</v>
      </c>
      <c r="F46" s="106" t="s">
        <v>373</v>
      </c>
      <c r="G46" s="80" t="s">
        <v>268</v>
      </c>
      <c r="H46" s="77"/>
      <c r="I46" s="77"/>
      <c r="J46" s="77"/>
      <c r="K46" s="81">
        <f>50000+1000000-144977</f>
        <v>905023</v>
      </c>
    </row>
    <row r="47" spans="1:11" ht="45.75" customHeight="1">
      <c r="A47" s="14"/>
      <c r="B47" s="54"/>
      <c r="C47" s="91" t="s">
        <v>145</v>
      </c>
      <c r="D47" s="91" t="s">
        <v>146</v>
      </c>
      <c r="E47" s="92"/>
      <c r="F47" s="107" t="s">
        <v>149</v>
      </c>
      <c r="G47" s="80"/>
      <c r="H47" s="77"/>
      <c r="I47" s="77"/>
      <c r="J47" s="77"/>
      <c r="K47" s="165">
        <f>121000-2000</f>
        <v>119000</v>
      </c>
    </row>
    <row r="48" spans="1:11" ht="66.75" customHeight="1">
      <c r="A48" s="14"/>
      <c r="B48" s="54"/>
      <c r="C48" s="89" t="s">
        <v>147</v>
      </c>
      <c r="D48" s="89" t="s">
        <v>462</v>
      </c>
      <c r="E48" s="90" t="s">
        <v>463</v>
      </c>
      <c r="F48" s="106" t="s">
        <v>464</v>
      </c>
      <c r="G48" s="80" t="s">
        <v>148</v>
      </c>
      <c r="H48" s="77"/>
      <c r="I48" s="77"/>
      <c r="J48" s="77"/>
      <c r="K48" s="81">
        <f>121000-2000</f>
        <v>119000</v>
      </c>
    </row>
    <row r="49" spans="1:11" ht="27.75" customHeight="1">
      <c r="A49" s="14"/>
      <c r="B49" s="54"/>
      <c r="C49" s="89"/>
      <c r="D49" s="89"/>
      <c r="E49" s="90"/>
      <c r="F49" s="78"/>
      <c r="G49" s="77" t="s">
        <v>270</v>
      </c>
      <c r="H49" s="77"/>
      <c r="I49" s="77"/>
      <c r="J49" s="77"/>
      <c r="K49" s="85">
        <f>SUM(K50,K54,K56,K58)</f>
        <v>4109033</v>
      </c>
    </row>
    <row r="50" spans="1:11" ht="91.5" customHeight="1">
      <c r="A50" s="14"/>
      <c r="B50" s="54"/>
      <c r="C50" s="91" t="s">
        <v>374</v>
      </c>
      <c r="D50" s="91" t="s">
        <v>375</v>
      </c>
      <c r="E50" s="92"/>
      <c r="F50" s="107" t="s">
        <v>376</v>
      </c>
      <c r="G50" s="77"/>
      <c r="H50" s="77"/>
      <c r="I50" s="77"/>
      <c r="J50" s="77"/>
      <c r="K50" s="85">
        <f>1499000+50000+550000+1200000+1040000-349013-44954-30000</f>
        <v>3915033</v>
      </c>
    </row>
    <row r="51" spans="1:11" ht="93.75" customHeight="1">
      <c r="A51" s="14"/>
      <c r="B51" s="54"/>
      <c r="C51" s="89" t="s">
        <v>348</v>
      </c>
      <c r="D51" s="89" t="s">
        <v>349</v>
      </c>
      <c r="E51" s="90" t="s">
        <v>223</v>
      </c>
      <c r="F51" s="106" t="s">
        <v>377</v>
      </c>
      <c r="G51" s="82" t="s">
        <v>271</v>
      </c>
      <c r="H51" s="82"/>
      <c r="I51" s="82"/>
      <c r="J51" s="82"/>
      <c r="K51" s="95">
        <f>1499000+550000+800000-100000-349013</f>
        <v>2399987</v>
      </c>
    </row>
    <row r="52" spans="1:11" ht="93.75" customHeight="1">
      <c r="A52" s="14"/>
      <c r="B52" s="54"/>
      <c r="C52" s="89" t="s">
        <v>348</v>
      </c>
      <c r="D52" s="89" t="s">
        <v>349</v>
      </c>
      <c r="E52" s="90" t="s">
        <v>223</v>
      </c>
      <c r="F52" s="106" t="s">
        <v>377</v>
      </c>
      <c r="G52" s="82" t="s">
        <v>90</v>
      </c>
      <c r="H52" s="82"/>
      <c r="I52" s="82"/>
      <c r="J52" s="82"/>
      <c r="K52" s="95">
        <f>100000-44954</f>
        <v>55046</v>
      </c>
    </row>
    <row r="53" spans="1:11" ht="75.75" customHeight="1">
      <c r="A53" s="14"/>
      <c r="B53" s="54"/>
      <c r="C53" s="89" t="s">
        <v>411</v>
      </c>
      <c r="D53" s="89" t="s">
        <v>412</v>
      </c>
      <c r="E53" s="90" t="s">
        <v>362</v>
      </c>
      <c r="F53" s="106" t="s">
        <v>413</v>
      </c>
      <c r="G53" s="82" t="s">
        <v>414</v>
      </c>
      <c r="H53" s="82"/>
      <c r="I53" s="82"/>
      <c r="J53" s="82"/>
      <c r="K53" s="95">
        <f>50000+400000+1040000-30000</f>
        <v>1460000</v>
      </c>
    </row>
    <row r="54" spans="1:11" ht="48" customHeight="1">
      <c r="A54" s="14"/>
      <c r="B54" s="54"/>
      <c r="C54" s="91" t="s">
        <v>150</v>
      </c>
      <c r="D54" s="91" t="s">
        <v>151</v>
      </c>
      <c r="E54" s="90"/>
      <c r="F54" s="107" t="s">
        <v>152</v>
      </c>
      <c r="G54" s="82"/>
      <c r="H54" s="82"/>
      <c r="I54" s="82"/>
      <c r="J54" s="82"/>
      <c r="K54" s="86">
        <f>150000-11000</f>
        <v>139000</v>
      </c>
    </row>
    <row r="55" spans="1:11" ht="67.5" customHeight="1">
      <c r="A55" s="14"/>
      <c r="B55" s="54"/>
      <c r="C55" s="89" t="s">
        <v>153</v>
      </c>
      <c r="D55" s="89" t="s">
        <v>154</v>
      </c>
      <c r="E55" s="90" t="s">
        <v>155</v>
      </c>
      <c r="F55" s="106" t="s">
        <v>156</v>
      </c>
      <c r="G55" s="82" t="s">
        <v>157</v>
      </c>
      <c r="H55" s="82"/>
      <c r="I55" s="82"/>
      <c r="J55" s="82"/>
      <c r="K55" s="116">
        <f>150000-11000</f>
        <v>139000</v>
      </c>
    </row>
    <row r="56" spans="1:11" ht="46.5" customHeight="1">
      <c r="A56" s="14"/>
      <c r="B56" s="54"/>
      <c r="C56" s="91" t="s">
        <v>158</v>
      </c>
      <c r="D56" s="91" t="s">
        <v>159</v>
      </c>
      <c r="E56" s="92"/>
      <c r="F56" s="107" t="s">
        <v>162</v>
      </c>
      <c r="G56" s="82"/>
      <c r="H56" s="82"/>
      <c r="I56" s="82"/>
      <c r="J56" s="82"/>
      <c r="K56" s="86">
        <v>25000</v>
      </c>
    </row>
    <row r="57" spans="1:11" ht="69.75" customHeight="1">
      <c r="A57" s="14"/>
      <c r="B57" s="54"/>
      <c r="C57" s="89" t="s">
        <v>160</v>
      </c>
      <c r="D57" s="89" t="s">
        <v>161</v>
      </c>
      <c r="E57" s="90" t="s">
        <v>155</v>
      </c>
      <c r="F57" s="106" t="s">
        <v>163</v>
      </c>
      <c r="G57" s="82" t="s">
        <v>164</v>
      </c>
      <c r="H57" s="82"/>
      <c r="I57" s="82"/>
      <c r="J57" s="82"/>
      <c r="K57" s="95">
        <v>25000</v>
      </c>
    </row>
    <row r="58" spans="1:11" ht="50.25" customHeight="1">
      <c r="A58" s="14"/>
      <c r="B58" s="54"/>
      <c r="C58" s="103">
        <v>1517320</v>
      </c>
      <c r="D58" s="103">
        <v>7320</v>
      </c>
      <c r="E58" s="104"/>
      <c r="F58" s="105" t="s">
        <v>359</v>
      </c>
      <c r="G58" s="82"/>
      <c r="H58" s="82"/>
      <c r="I58" s="82"/>
      <c r="J58" s="82"/>
      <c r="K58" s="86">
        <v>30000</v>
      </c>
    </row>
    <row r="59" spans="1:11" ht="51" customHeight="1">
      <c r="A59" s="14"/>
      <c r="B59" s="54"/>
      <c r="C59" s="89" t="s">
        <v>237</v>
      </c>
      <c r="D59" s="89" t="s">
        <v>238</v>
      </c>
      <c r="E59" s="90" t="s">
        <v>206</v>
      </c>
      <c r="F59" s="106" t="s">
        <v>360</v>
      </c>
      <c r="G59" s="82" t="s">
        <v>358</v>
      </c>
      <c r="H59" s="82"/>
      <c r="I59" s="82"/>
      <c r="J59" s="82"/>
      <c r="K59" s="95">
        <v>30000</v>
      </c>
    </row>
    <row r="60" spans="1:11" ht="27.75" customHeight="1">
      <c r="A60" s="14"/>
      <c r="B60" s="54"/>
      <c r="C60" s="89"/>
      <c r="D60" s="89"/>
      <c r="E60" s="90"/>
      <c r="F60" s="106"/>
      <c r="G60" s="77" t="s">
        <v>272</v>
      </c>
      <c r="H60" s="82"/>
      <c r="I60" s="82"/>
      <c r="J60" s="82"/>
      <c r="K60" s="86">
        <f>SUM(K61:K65)</f>
        <v>1738592</v>
      </c>
    </row>
    <row r="61" spans="1:11" ht="52.5" customHeight="1">
      <c r="A61" s="14"/>
      <c r="B61" s="54"/>
      <c r="C61" s="89" t="s">
        <v>415</v>
      </c>
      <c r="D61" s="89" t="s">
        <v>416</v>
      </c>
      <c r="E61" s="90" t="s">
        <v>407</v>
      </c>
      <c r="F61" s="106" t="s">
        <v>417</v>
      </c>
      <c r="G61" s="80" t="s">
        <v>135</v>
      </c>
      <c r="H61" s="82"/>
      <c r="I61" s="82"/>
      <c r="J61" s="82"/>
      <c r="K61" s="95">
        <f>415424-150000-5424</f>
        <v>260000</v>
      </c>
    </row>
    <row r="62" spans="1:11" ht="52.5" customHeight="1">
      <c r="A62" s="14"/>
      <c r="B62" s="54"/>
      <c r="C62" s="89" t="s">
        <v>415</v>
      </c>
      <c r="D62" s="89" t="s">
        <v>416</v>
      </c>
      <c r="E62" s="90" t="s">
        <v>407</v>
      </c>
      <c r="F62" s="106" t="s">
        <v>417</v>
      </c>
      <c r="G62" s="80" t="s">
        <v>165</v>
      </c>
      <c r="H62" s="82"/>
      <c r="I62" s="82"/>
      <c r="J62" s="82"/>
      <c r="K62" s="95">
        <f>70000-6408</f>
        <v>63592</v>
      </c>
    </row>
    <row r="63" spans="1:11" ht="48" customHeight="1">
      <c r="A63" s="14"/>
      <c r="B63" s="54"/>
      <c r="C63" s="89" t="s">
        <v>415</v>
      </c>
      <c r="D63" s="89" t="s">
        <v>416</v>
      </c>
      <c r="E63" s="90" t="s">
        <v>407</v>
      </c>
      <c r="F63" s="106" t="s">
        <v>417</v>
      </c>
      <c r="G63" s="80" t="s">
        <v>418</v>
      </c>
      <c r="H63" s="82"/>
      <c r="I63" s="82"/>
      <c r="J63" s="82"/>
      <c r="K63" s="95">
        <f>50000-40000</f>
        <v>10000</v>
      </c>
    </row>
    <row r="64" spans="1:11" ht="48" customHeight="1">
      <c r="A64" s="14"/>
      <c r="B64" s="54"/>
      <c r="C64" s="89" t="s">
        <v>415</v>
      </c>
      <c r="D64" s="89" t="s">
        <v>416</v>
      </c>
      <c r="E64" s="90" t="s">
        <v>407</v>
      </c>
      <c r="F64" s="106" t="s">
        <v>417</v>
      </c>
      <c r="G64" s="19" t="s">
        <v>124</v>
      </c>
      <c r="H64" s="87"/>
      <c r="I64" s="87"/>
      <c r="J64" s="87"/>
      <c r="K64" s="116">
        <f>30000+85000</f>
        <v>115000</v>
      </c>
    </row>
    <row r="65" spans="1:11" ht="32.25" customHeight="1">
      <c r="A65" s="14"/>
      <c r="B65" s="54"/>
      <c r="C65" s="89" t="s">
        <v>350</v>
      </c>
      <c r="D65" s="89" t="s">
        <v>228</v>
      </c>
      <c r="E65" s="90" t="s">
        <v>229</v>
      </c>
      <c r="F65" s="106" t="s">
        <v>380</v>
      </c>
      <c r="G65" s="82" t="s">
        <v>273</v>
      </c>
      <c r="H65" s="82"/>
      <c r="I65" s="82"/>
      <c r="J65" s="82"/>
      <c r="K65" s="95">
        <f>900000+320000+70000</f>
        <v>1290000</v>
      </c>
    </row>
    <row r="66" spans="1:11" ht="27" customHeight="1">
      <c r="A66" s="14"/>
      <c r="B66" s="54"/>
      <c r="C66" s="91"/>
      <c r="D66" s="91"/>
      <c r="E66" s="92"/>
      <c r="F66" s="106"/>
      <c r="G66" s="77" t="s">
        <v>274</v>
      </c>
      <c r="H66" s="82"/>
      <c r="I66" s="82"/>
      <c r="J66" s="82"/>
      <c r="K66" s="86">
        <f>80000+10000+3144000+130000+1313600-705000</f>
        <v>3972600</v>
      </c>
    </row>
    <row r="67" spans="1:11" ht="45.75" customHeight="1">
      <c r="A67" s="14"/>
      <c r="B67" s="54"/>
      <c r="C67" s="91" t="s">
        <v>378</v>
      </c>
      <c r="D67" s="91" t="s">
        <v>379</v>
      </c>
      <c r="E67" s="92"/>
      <c r="F67" s="108" t="s">
        <v>381</v>
      </c>
      <c r="G67" s="77"/>
      <c r="H67" s="82"/>
      <c r="I67" s="82"/>
      <c r="J67" s="82"/>
      <c r="K67" s="95">
        <f>80000+3144000+130000+1313600-695000</f>
        <v>3972600</v>
      </c>
    </row>
    <row r="68" spans="1:11" ht="93.75" customHeight="1">
      <c r="A68" s="14"/>
      <c r="B68" s="54"/>
      <c r="C68" s="89" t="s">
        <v>351</v>
      </c>
      <c r="D68" s="89" t="s">
        <v>352</v>
      </c>
      <c r="E68" s="90" t="s">
        <v>353</v>
      </c>
      <c r="F68" s="106" t="s">
        <v>382</v>
      </c>
      <c r="G68" s="82" t="s">
        <v>275</v>
      </c>
      <c r="H68" s="82"/>
      <c r="I68" s="82"/>
      <c r="J68" s="82"/>
      <c r="K68" s="95">
        <f>80000+3144000+130000+1313600-695000</f>
        <v>3972600</v>
      </c>
    </row>
    <row r="69" spans="1:11" ht="27.75" customHeight="1">
      <c r="A69" s="14"/>
      <c r="B69" s="54"/>
      <c r="C69" s="91"/>
      <c r="D69" s="91"/>
      <c r="E69" s="92"/>
      <c r="F69" s="106"/>
      <c r="G69" s="77" t="s">
        <v>276</v>
      </c>
      <c r="H69" s="82"/>
      <c r="I69" s="82"/>
      <c r="J69" s="82"/>
      <c r="K69" s="86">
        <f>SUM(K70:K88,K130,K131:K131)</f>
        <v>19832894</v>
      </c>
    </row>
    <row r="70" spans="1:11" ht="48" customHeight="1">
      <c r="A70" s="14"/>
      <c r="B70" s="54"/>
      <c r="C70" s="89" t="s">
        <v>344</v>
      </c>
      <c r="D70" s="89" t="s">
        <v>209</v>
      </c>
      <c r="E70" s="90" t="s">
        <v>206</v>
      </c>
      <c r="F70" s="106" t="s">
        <v>383</v>
      </c>
      <c r="G70" s="82" t="s">
        <v>0</v>
      </c>
      <c r="H70" s="82"/>
      <c r="I70" s="82"/>
      <c r="J70" s="82"/>
      <c r="K70" s="95">
        <v>150000</v>
      </c>
    </row>
    <row r="71" spans="1:11" ht="45.75" customHeight="1">
      <c r="A71" s="14"/>
      <c r="B71" s="54"/>
      <c r="C71" s="89" t="s">
        <v>344</v>
      </c>
      <c r="D71" s="89" t="s">
        <v>209</v>
      </c>
      <c r="E71" s="90" t="s">
        <v>206</v>
      </c>
      <c r="F71" s="106" t="s">
        <v>383</v>
      </c>
      <c r="G71" s="82" t="s">
        <v>277</v>
      </c>
      <c r="H71" s="82"/>
      <c r="I71" s="82"/>
      <c r="J71" s="82"/>
      <c r="K71" s="95">
        <f>30000+150000</f>
        <v>180000</v>
      </c>
    </row>
    <row r="72" spans="1:11" ht="43.5" customHeight="1">
      <c r="A72" s="14"/>
      <c r="B72" s="54"/>
      <c r="C72" s="89" t="s">
        <v>344</v>
      </c>
      <c r="D72" s="89" t="s">
        <v>209</v>
      </c>
      <c r="E72" s="90" t="s">
        <v>206</v>
      </c>
      <c r="F72" s="106" t="s">
        <v>383</v>
      </c>
      <c r="G72" s="82" t="s">
        <v>419</v>
      </c>
      <c r="H72" s="82"/>
      <c r="I72" s="82"/>
      <c r="J72" s="82"/>
      <c r="K72" s="95">
        <f>150000+65000-32813</f>
        <v>182187</v>
      </c>
    </row>
    <row r="73" spans="1:11" ht="75" customHeight="1">
      <c r="A73" s="14"/>
      <c r="B73" s="54"/>
      <c r="C73" s="89" t="s">
        <v>344</v>
      </c>
      <c r="D73" s="89" t="s">
        <v>209</v>
      </c>
      <c r="E73" s="90" t="s">
        <v>206</v>
      </c>
      <c r="F73" s="106" t="s">
        <v>383</v>
      </c>
      <c r="G73" s="82" t="s">
        <v>13</v>
      </c>
      <c r="H73" s="82"/>
      <c r="I73" s="82"/>
      <c r="J73" s="82"/>
      <c r="K73" s="95">
        <f>1000000+315000-12264</f>
        <v>1302736</v>
      </c>
    </row>
    <row r="74" spans="1:11" ht="51.75" customHeight="1">
      <c r="A74" s="14"/>
      <c r="B74" s="54"/>
      <c r="C74" s="89" t="s">
        <v>344</v>
      </c>
      <c r="D74" s="89" t="s">
        <v>209</v>
      </c>
      <c r="E74" s="90" t="s">
        <v>206</v>
      </c>
      <c r="F74" s="106" t="s">
        <v>383</v>
      </c>
      <c r="G74" s="82" t="s">
        <v>278</v>
      </c>
      <c r="H74" s="82"/>
      <c r="I74" s="82"/>
      <c r="J74" s="82"/>
      <c r="K74" s="95">
        <f>70000+140000</f>
        <v>210000</v>
      </c>
    </row>
    <row r="75" spans="1:11" ht="47.25" customHeight="1">
      <c r="A75" s="14"/>
      <c r="B75" s="54"/>
      <c r="C75" s="89" t="s">
        <v>344</v>
      </c>
      <c r="D75" s="89" t="s">
        <v>209</v>
      </c>
      <c r="E75" s="90" t="s">
        <v>206</v>
      </c>
      <c r="F75" s="106" t="s">
        <v>383</v>
      </c>
      <c r="G75" s="87" t="s">
        <v>340</v>
      </c>
      <c r="H75" s="82"/>
      <c r="I75" s="82"/>
      <c r="J75" s="82"/>
      <c r="K75" s="95">
        <f>3000000-300000-120000-82996</f>
        <v>2497004</v>
      </c>
    </row>
    <row r="76" spans="1:11" ht="52.5" customHeight="1">
      <c r="A76" s="14"/>
      <c r="B76" s="54"/>
      <c r="C76" s="89" t="s">
        <v>344</v>
      </c>
      <c r="D76" s="89" t="s">
        <v>209</v>
      </c>
      <c r="E76" s="90" t="s">
        <v>206</v>
      </c>
      <c r="F76" s="106" t="s">
        <v>383</v>
      </c>
      <c r="G76" s="82" t="s">
        <v>35</v>
      </c>
      <c r="H76" s="82"/>
      <c r="I76" s="82"/>
      <c r="J76" s="82"/>
      <c r="K76" s="95">
        <f>3000000+1200000-50000-50000-109318-27849</f>
        <v>3962833</v>
      </c>
    </row>
    <row r="77" spans="1:11" ht="46.5" customHeight="1">
      <c r="A77" s="14"/>
      <c r="B77" s="54"/>
      <c r="C77" s="89" t="s">
        <v>344</v>
      </c>
      <c r="D77" s="89" t="s">
        <v>209</v>
      </c>
      <c r="E77" s="90" t="s">
        <v>206</v>
      </c>
      <c r="F77" s="106" t="s">
        <v>383</v>
      </c>
      <c r="G77" s="82" t="s">
        <v>279</v>
      </c>
      <c r="H77" s="82"/>
      <c r="I77" s="82"/>
      <c r="J77" s="82"/>
      <c r="K77" s="95">
        <f>2000000+730000-30000-20000</f>
        <v>2680000</v>
      </c>
    </row>
    <row r="78" spans="1:11" ht="47.25" customHeight="1">
      <c r="A78" s="14"/>
      <c r="B78" s="54"/>
      <c r="C78" s="89" t="s">
        <v>344</v>
      </c>
      <c r="D78" s="89" t="s">
        <v>209</v>
      </c>
      <c r="E78" s="90" t="s">
        <v>206</v>
      </c>
      <c r="F78" s="106" t="s">
        <v>383</v>
      </c>
      <c r="G78" s="82" t="s">
        <v>280</v>
      </c>
      <c r="H78" s="82"/>
      <c r="I78" s="82"/>
      <c r="J78" s="82"/>
      <c r="K78" s="95">
        <f>2000000+412000-275926</f>
        <v>2136074</v>
      </c>
    </row>
    <row r="79" spans="1:11" ht="71.25" customHeight="1">
      <c r="A79" s="14"/>
      <c r="B79" s="54"/>
      <c r="C79" s="89" t="s">
        <v>344</v>
      </c>
      <c r="D79" s="89" t="s">
        <v>209</v>
      </c>
      <c r="E79" s="90" t="s">
        <v>206</v>
      </c>
      <c r="F79" s="106" t="s">
        <v>383</v>
      </c>
      <c r="G79" s="82" t="s">
        <v>281</v>
      </c>
      <c r="H79" s="82"/>
      <c r="I79" s="82"/>
      <c r="J79" s="82"/>
      <c r="K79" s="95">
        <v>100000</v>
      </c>
    </row>
    <row r="80" spans="1:11" ht="70.5" customHeight="1">
      <c r="A80" s="14"/>
      <c r="B80" s="54"/>
      <c r="C80" s="89" t="s">
        <v>344</v>
      </c>
      <c r="D80" s="89" t="s">
        <v>209</v>
      </c>
      <c r="E80" s="90" t="s">
        <v>206</v>
      </c>
      <c r="F80" s="106" t="s">
        <v>383</v>
      </c>
      <c r="G80" s="87" t="s">
        <v>282</v>
      </c>
      <c r="H80" s="87"/>
      <c r="I80" s="87"/>
      <c r="J80" s="87"/>
      <c r="K80" s="116">
        <f>400000+1285000-368363+10000</f>
        <v>1326637</v>
      </c>
    </row>
    <row r="81" spans="1:11" ht="70.5" customHeight="1">
      <c r="A81" s="14"/>
      <c r="B81" s="54"/>
      <c r="C81" s="89" t="s">
        <v>344</v>
      </c>
      <c r="D81" s="89" t="s">
        <v>209</v>
      </c>
      <c r="E81" s="90" t="s">
        <v>206</v>
      </c>
      <c r="F81" s="106" t="s">
        <v>383</v>
      </c>
      <c r="G81" s="87" t="s">
        <v>475</v>
      </c>
      <c r="H81" s="87"/>
      <c r="I81" s="87"/>
      <c r="J81" s="87"/>
      <c r="K81" s="116">
        <f>3000000-1290000-212000-50000+10000</f>
        <v>1458000</v>
      </c>
    </row>
    <row r="82" spans="1:11" ht="74.25" customHeight="1">
      <c r="A82" s="14"/>
      <c r="B82" s="54"/>
      <c r="C82" s="89" t="s">
        <v>344</v>
      </c>
      <c r="D82" s="89" t="s">
        <v>209</v>
      </c>
      <c r="E82" s="90" t="s">
        <v>206</v>
      </c>
      <c r="F82" s="106" t="s">
        <v>383</v>
      </c>
      <c r="G82" s="87" t="s">
        <v>476</v>
      </c>
      <c r="H82" s="87"/>
      <c r="I82" s="87"/>
      <c r="J82" s="87"/>
      <c r="K82" s="116">
        <v>1300000</v>
      </c>
    </row>
    <row r="83" spans="1:11" ht="76.5" customHeight="1">
      <c r="A83" s="14"/>
      <c r="B83" s="54"/>
      <c r="C83" s="89" t="s">
        <v>344</v>
      </c>
      <c r="D83" s="89" t="s">
        <v>209</v>
      </c>
      <c r="E83" s="90" t="s">
        <v>206</v>
      </c>
      <c r="F83" s="106" t="s">
        <v>383</v>
      </c>
      <c r="G83" s="87" t="s">
        <v>131</v>
      </c>
      <c r="H83" s="82"/>
      <c r="I83" s="82"/>
      <c r="J83" s="82"/>
      <c r="K83" s="95">
        <f>50000+50000-32000</f>
        <v>68000</v>
      </c>
    </row>
    <row r="84" spans="1:11" ht="47.25" customHeight="1">
      <c r="A84" s="14"/>
      <c r="B84" s="54"/>
      <c r="C84" s="89" t="s">
        <v>344</v>
      </c>
      <c r="D84" s="89" t="s">
        <v>209</v>
      </c>
      <c r="E84" s="90" t="s">
        <v>206</v>
      </c>
      <c r="F84" s="106" t="s">
        <v>383</v>
      </c>
      <c r="G84" s="82" t="s">
        <v>283</v>
      </c>
      <c r="H84" s="82"/>
      <c r="I84" s="82"/>
      <c r="J84" s="82"/>
      <c r="K84" s="95">
        <f>30000+20000</f>
        <v>50000</v>
      </c>
    </row>
    <row r="85" spans="1:11" ht="44.25" customHeight="1">
      <c r="A85" s="14"/>
      <c r="B85" s="54"/>
      <c r="C85" s="89" t="s">
        <v>344</v>
      </c>
      <c r="D85" s="89" t="s">
        <v>209</v>
      </c>
      <c r="E85" s="90" t="s">
        <v>206</v>
      </c>
      <c r="F85" s="106" t="s">
        <v>383</v>
      </c>
      <c r="G85" s="82" t="s">
        <v>284</v>
      </c>
      <c r="H85" s="82"/>
      <c r="I85" s="82"/>
      <c r="J85" s="82"/>
      <c r="K85" s="95">
        <f>100000-90000</f>
        <v>10000</v>
      </c>
    </row>
    <row r="86" spans="1:11" ht="45.75" customHeight="1">
      <c r="A86" s="14"/>
      <c r="B86" s="54"/>
      <c r="C86" s="89" t="s">
        <v>344</v>
      </c>
      <c r="D86" s="89" t="s">
        <v>209</v>
      </c>
      <c r="E86" s="90" t="s">
        <v>206</v>
      </c>
      <c r="F86" s="106" t="s">
        <v>383</v>
      </c>
      <c r="G86" s="82" t="s">
        <v>285</v>
      </c>
      <c r="H86" s="82"/>
      <c r="I86" s="82"/>
      <c r="J86" s="82"/>
      <c r="K86" s="95">
        <v>60000</v>
      </c>
    </row>
    <row r="87" spans="1:11" ht="51" customHeight="1">
      <c r="A87" s="14"/>
      <c r="B87" s="54"/>
      <c r="C87" s="89" t="s">
        <v>344</v>
      </c>
      <c r="D87" s="89" t="s">
        <v>209</v>
      </c>
      <c r="E87" s="90" t="s">
        <v>206</v>
      </c>
      <c r="F87" s="106" t="s">
        <v>383</v>
      </c>
      <c r="G87" s="82" t="s">
        <v>357</v>
      </c>
      <c r="H87" s="82"/>
      <c r="I87" s="82"/>
      <c r="J87" s="82"/>
      <c r="K87" s="95">
        <f>30000+1430000-13231</f>
        <v>1446769</v>
      </c>
    </row>
    <row r="88" spans="1:11" ht="69" customHeight="1">
      <c r="A88" s="14"/>
      <c r="B88" s="54"/>
      <c r="C88" s="89" t="s">
        <v>344</v>
      </c>
      <c r="D88" s="89" t="s">
        <v>209</v>
      </c>
      <c r="E88" s="90" t="s">
        <v>206</v>
      </c>
      <c r="F88" s="106" t="s">
        <v>383</v>
      </c>
      <c r="G88" s="87" t="s">
        <v>477</v>
      </c>
      <c r="H88" s="87"/>
      <c r="I88" s="87"/>
      <c r="J88" s="87"/>
      <c r="K88" s="117">
        <f>400000+10000-9075+10000</f>
        <v>410925</v>
      </c>
    </row>
    <row r="89" spans="1:11" ht="30" customHeight="1">
      <c r="A89" s="14"/>
      <c r="B89" s="54"/>
      <c r="C89" s="89"/>
      <c r="D89" s="89"/>
      <c r="E89" s="90"/>
      <c r="F89" s="106"/>
      <c r="G89" s="82" t="s">
        <v>478</v>
      </c>
      <c r="H89" s="82"/>
      <c r="I89" s="82"/>
      <c r="J89" s="82"/>
      <c r="K89" s="95">
        <f>10000-530</f>
        <v>9470</v>
      </c>
    </row>
    <row r="90" spans="1:11" ht="30" customHeight="1">
      <c r="A90" s="14"/>
      <c r="B90" s="54"/>
      <c r="C90" s="89"/>
      <c r="D90" s="89"/>
      <c r="E90" s="90"/>
      <c r="F90" s="106"/>
      <c r="G90" s="82" t="s">
        <v>479</v>
      </c>
      <c r="H90" s="82"/>
      <c r="I90" s="82"/>
      <c r="J90" s="82"/>
      <c r="K90" s="95">
        <f>10000-530</f>
        <v>9470</v>
      </c>
    </row>
    <row r="91" spans="1:11" ht="32.25" customHeight="1">
      <c r="A91" s="14"/>
      <c r="B91" s="54"/>
      <c r="C91" s="89"/>
      <c r="D91" s="89"/>
      <c r="E91" s="90"/>
      <c r="F91" s="106"/>
      <c r="G91" s="82" t="s">
        <v>480</v>
      </c>
      <c r="H91" s="82"/>
      <c r="I91" s="82"/>
      <c r="J91" s="82"/>
      <c r="K91" s="95">
        <f>10000-530</f>
        <v>9470</v>
      </c>
    </row>
    <row r="92" spans="1:11" ht="32.25" customHeight="1">
      <c r="A92" s="14"/>
      <c r="B92" s="54"/>
      <c r="C92" s="89"/>
      <c r="D92" s="89"/>
      <c r="E92" s="90"/>
      <c r="F92" s="106"/>
      <c r="G92" s="82" t="s">
        <v>30</v>
      </c>
      <c r="H92" s="82"/>
      <c r="I92" s="82"/>
      <c r="J92" s="82"/>
      <c r="K92" s="95">
        <f>10000-55+10000</f>
        <v>19945</v>
      </c>
    </row>
    <row r="93" spans="1:11" ht="32.25" customHeight="1">
      <c r="A93" s="14"/>
      <c r="B93" s="54"/>
      <c r="C93" s="89"/>
      <c r="D93" s="89"/>
      <c r="E93" s="90"/>
      <c r="F93" s="106"/>
      <c r="G93" s="82" t="s">
        <v>1</v>
      </c>
      <c r="H93" s="82"/>
      <c r="I93" s="82"/>
      <c r="J93" s="82"/>
      <c r="K93" s="95">
        <f>10000+1500</f>
        <v>11500</v>
      </c>
    </row>
    <row r="94" spans="1:11" ht="31.5" customHeight="1">
      <c r="A94" s="14"/>
      <c r="B94" s="54"/>
      <c r="C94" s="89"/>
      <c r="D94" s="89"/>
      <c r="E94" s="90"/>
      <c r="F94" s="106"/>
      <c r="G94" s="82" t="s">
        <v>481</v>
      </c>
      <c r="H94" s="82"/>
      <c r="I94" s="82"/>
      <c r="J94" s="82"/>
      <c r="K94" s="95">
        <f aca="true" t="shared" si="0" ref="K94:K116">10000-530</f>
        <v>9470</v>
      </c>
    </row>
    <row r="95" spans="1:11" ht="29.25" customHeight="1">
      <c r="A95" s="14"/>
      <c r="B95" s="54"/>
      <c r="C95" s="89"/>
      <c r="D95" s="89"/>
      <c r="E95" s="90"/>
      <c r="F95" s="106"/>
      <c r="G95" s="82" t="s">
        <v>482</v>
      </c>
      <c r="H95" s="82"/>
      <c r="I95" s="82"/>
      <c r="J95" s="82"/>
      <c r="K95" s="95">
        <f t="shared" si="0"/>
        <v>9470</v>
      </c>
    </row>
    <row r="96" spans="1:11" ht="29.25" customHeight="1">
      <c r="A96" s="14"/>
      <c r="B96" s="54"/>
      <c r="C96" s="89"/>
      <c r="D96" s="89"/>
      <c r="E96" s="90"/>
      <c r="F96" s="106"/>
      <c r="G96" s="82" t="s">
        <v>2</v>
      </c>
      <c r="H96" s="82"/>
      <c r="I96" s="82"/>
      <c r="J96" s="82"/>
      <c r="K96" s="95">
        <f t="shared" si="0"/>
        <v>9470</v>
      </c>
    </row>
    <row r="97" spans="1:11" ht="28.5" customHeight="1">
      <c r="A97" s="14"/>
      <c r="B97" s="54"/>
      <c r="C97" s="89"/>
      <c r="D97" s="89"/>
      <c r="E97" s="90"/>
      <c r="F97" s="106"/>
      <c r="G97" s="82" t="s">
        <v>483</v>
      </c>
      <c r="H97" s="82"/>
      <c r="I97" s="82"/>
      <c r="J97" s="82"/>
      <c r="K97" s="95">
        <f t="shared" si="0"/>
        <v>9470</v>
      </c>
    </row>
    <row r="98" spans="1:11" ht="30" customHeight="1">
      <c r="A98" s="14"/>
      <c r="B98" s="54"/>
      <c r="C98" s="89"/>
      <c r="D98" s="89"/>
      <c r="E98" s="90"/>
      <c r="F98" s="106"/>
      <c r="G98" s="82" t="s">
        <v>484</v>
      </c>
      <c r="H98" s="82"/>
      <c r="I98" s="82"/>
      <c r="J98" s="82"/>
      <c r="K98" s="95">
        <f t="shared" si="0"/>
        <v>9470</v>
      </c>
    </row>
    <row r="99" spans="1:11" ht="32.25" customHeight="1">
      <c r="A99" s="14"/>
      <c r="B99" s="54"/>
      <c r="C99" s="89"/>
      <c r="D99" s="89"/>
      <c r="E99" s="90"/>
      <c r="F99" s="106"/>
      <c r="G99" s="82" t="s">
        <v>485</v>
      </c>
      <c r="H99" s="82"/>
      <c r="I99" s="82"/>
      <c r="J99" s="82"/>
      <c r="K99" s="95">
        <f t="shared" si="0"/>
        <v>9470</v>
      </c>
    </row>
    <row r="100" spans="1:11" ht="29.25" customHeight="1">
      <c r="A100" s="14"/>
      <c r="B100" s="54"/>
      <c r="C100" s="89"/>
      <c r="D100" s="89"/>
      <c r="E100" s="90"/>
      <c r="F100" s="106"/>
      <c r="G100" s="82" t="s">
        <v>486</v>
      </c>
      <c r="H100" s="82"/>
      <c r="I100" s="82"/>
      <c r="J100" s="82"/>
      <c r="K100" s="95">
        <f>10000+1500</f>
        <v>11500</v>
      </c>
    </row>
    <row r="101" spans="1:11" ht="30" customHeight="1">
      <c r="A101" s="14"/>
      <c r="B101" s="54"/>
      <c r="C101" s="89"/>
      <c r="D101" s="89"/>
      <c r="E101" s="90"/>
      <c r="F101" s="106"/>
      <c r="G101" s="82" t="s">
        <v>487</v>
      </c>
      <c r="H101" s="82"/>
      <c r="I101" s="82"/>
      <c r="J101" s="82"/>
      <c r="K101" s="95">
        <f t="shared" si="0"/>
        <v>9470</v>
      </c>
    </row>
    <row r="102" spans="1:11" ht="27" customHeight="1">
      <c r="A102" s="14"/>
      <c r="B102" s="54"/>
      <c r="C102" s="89"/>
      <c r="D102" s="89"/>
      <c r="E102" s="90"/>
      <c r="F102" s="106"/>
      <c r="G102" s="82" t="s">
        <v>488</v>
      </c>
      <c r="H102" s="82"/>
      <c r="I102" s="82"/>
      <c r="J102" s="82"/>
      <c r="K102" s="95">
        <f t="shared" si="0"/>
        <v>9470</v>
      </c>
    </row>
    <row r="103" spans="1:11" ht="31.5" customHeight="1">
      <c r="A103" s="14"/>
      <c r="B103" s="54"/>
      <c r="C103" s="89"/>
      <c r="D103" s="89"/>
      <c r="E103" s="90"/>
      <c r="F103" s="106"/>
      <c r="G103" s="82" t="s">
        <v>489</v>
      </c>
      <c r="H103" s="82"/>
      <c r="I103" s="82"/>
      <c r="J103" s="82"/>
      <c r="K103" s="95">
        <f t="shared" si="0"/>
        <v>9470</v>
      </c>
    </row>
    <row r="104" spans="1:11" ht="30.75" customHeight="1">
      <c r="A104" s="14"/>
      <c r="B104" s="54"/>
      <c r="C104" s="89"/>
      <c r="D104" s="89"/>
      <c r="E104" s="90"/>
      <c r="F104" s="106"/>
      <c r="G104" s="82" t="s">
        <v>490</v>
      </c>
      <c r="H104" s="82"/>
      <c r="I104" s="82"/>
      <c r="J104" s="82"/>
      <c r="K104" s="95">
        <f t="shared" si="0"/>
        <v>9470</v>
      </c>
    </row>
    <row r="105" spans="1:11" ht="28.5" customHeight="1">
      <c r="A105" s="14"/>
      <c r="B105" s="54"/>
      <c r="C105" s="89"/>
      <c r="D105" s="89"/>
      <c r="E105" s="90"/>
      <c r="F105" s="106"/>
      <c r="G105" s="82" t="s">
        <v>3</v>
      </c>
      <c r="H105" s="82"/>
      <c r="I105" s="82"/>
      <c r="J105" s="82"/>
      <c r="K105" s="95">
        <f t="shared" si="0"/>
        <v>9470</v>
      </c>
    </row>
    <row r="106" spans="1:11" ht="30.75" customHeight="1">
      <c r="A106" s="14"/>
      <c r="B106" s="54"/>
      <c r="C106" s="89"/>
      <c r="D106" s="89"/>
      <c r="E106" s="90"/>
      <c r="F106" s="106"/>
      <c r="G106" s="82" t="s">
        <v>4</v>
      </c>
      <c r="H106" s="82"/>
      <c r="I106" s="82"/>
      <c r="J106" s="82"/>
      <c r="K106" s="95">
        <f t="shared" si="0"/>
        <v>9470</v>
      </c>
    </row>
    <row r="107" spans="1:11" ht="30" customHeight="1">
      <c r="A107" s="14"/>
      <c r="B107" s="54"/>
      <c r="C107" s="89"/>
      <c r="D107" s="89"/>
      <c r="E107" s="90"/>
      <c r="F107" s="106"/>
      <c r="G107" s="82" t="s">
        <v>5</v>
      </c>
      <c r="H107" s="82"/>
      <c r="I107" s="82"/>
      <c r="J107" s="82"/>
      <c r="K107" s="95">
        <f t="shared" si="0"/>
        <v>9470</v>
      </c>
    </row>
    <row r="108" spans="1:11" ht="30" customHeight="1">
      <c r="A108" s="14"/>
      <c r="B108" s="54"/>
      <c r="C108" s="89"/>
      <c r="D108" s="89"/>
      <c r="E108" s="90"/>
      <c r="F108" s="106"/>
      <c r="G108" s="82" t="s">
        <v>6</v>
      </c>
      <c r="H108" s="82"/>
      <c r="I108" s="82"/>
      <c r="J108" s="82"/>
      <c r="K108" s="95">
        <f t="shared" si="0"/>
        <v>9470</v>
      </c>
    </row>
    <row r="109" spans="1:11" ht="30" customHeight="1">
      <c r="A109" s="14"/>
      <c r="B109" s="54"/>
      <c r="C109" s="89"/>
      <c r="D109" s="89"/>
      <c r="E109" s="90"/>
      <c r="F109" s="106"/>
      <c r="G109" s="82" t="s">
        <v>7</v>
      </c>
      <c r="H109" s="82"/>
      <c r="I109" s="82"/>
      <c r="J109" s="82"/>
      <c r="K109" s="95">
        <f t="shared" si="0"/>
        <v>9470</v>
      </c>
    </row>
    <row r="110" spans="1:11" ht="32.25" customHeight="1">
      <c r="A110" s="14"/>
      <c r="B110" s="54"/>
      <c r="C110" s="89"/>
      <c r="D110" s="89"/>
      <c r="E110" s="90"/>
      <c r="F110" s="106"/>
      <c r="G110" s="82" t="s">
        <v>491</v>
      </c>
      <c r="H110" s="82"/>
      <c r="I110" s="82"/>
      <c r="J110" s="82"/>
      <c r="K110" s="95">
        <f>10000+1500</f>
        <v>11500</v>
      </c>
    </row>
    <row r="111" spans="1:11" ht="32.25" customHeight="1">
      <c r="A111" s="14"/>
      <c r="B111" s="54"/>
      <c r="C111" s="89"/>
      <c r="D111" s="89"/>
      <c r="E111" s="90"/>
      <c r="F111" s="106"/>
      <c r="G111" s="82" t="s">
        <v>492</v>
      </c>
      <c r="H111" s="82"/>
      <c r="I111" s="82"/>
      <c r="J111" s="82"/>
      <c r="K111" s="95">
        <f t="shared" si="0"/>
        <v>9470</v>
      </c>
    </row>
    <row r="112" spans="1:11" ht="29.25" customHeight="1">
      <c r="A112" s="14"/>
      <c r="B112" s="54"/>
      <c r="C112" s="89"/>
      <c r="D112" s="89"/>
      <c r="E112" s="90"/>
      <c r="F112" s="106"/>
      <c r="G112" s="82" t="s">
        <v>493</v>
      </c>
      <c r="H112" s="82"/>
      <c r="I112" s="82"/>
      <c r="J112" s="82"/>
      <c r="K112" s="95">
        <f t="shared" si="0"/>
        <v>9470</v>
      </c>
    </row>
    <row r="113" spans="1:11" ht="29.25" customHeight="1">
      <c r="A113" s="14"/>
      <c r="B113" s="54"/>
      <c r="C113" s="89"/>
      <c r="D113" s="89"/>
      <c r="E113" s="90"/>
      <c r="F113" s="106"/>
      <c r="G113" s="82" t="s">
        <v>494</v>
      </c>
      <c r="H113" s="82"/>
      <c r="I113" s="82"/>
      <c r="J113" s="82"/>
      <c r="K113" s="95">
        <f t="shared" si="0"/>
        <v>9470</v>
      </c>
    </row>
    <row r="114" spans="1:11" ht="33" customHeight="1">
      <c r="A114" s="14"/>
      <c r="B114" s="54"/>
      <c r="C114" s="89"/>
      <c r="D114" s="89"/>
      <c r="E114" s="90"/>
      <c r="F114" s="106"/>
      <c r="G114" s="82" t="s">
        <v>495</v>
      </c>
      <c r="H114" s="82"/>
      <c r="I114" s="82"/>
      <c r="J114" s="82"/>
      <c r="K114" s="95">
        <f t="shared" si="0"/>
        <v>9470</v>
      </c>
    </row>
    <row r="115" spans="1:11" ht="30.75" customHeight="1">
      <c r="A115" s="14"/>
      <c r="B115" s="54"/>
      <c r="C115" s="89"/>
      <c r="D115" s="89"/>
      <c r="E115" s="90"/>
      <c r="F115" s="106"/>
      <c r="G115" s="82" t="s">
        <v>8</v>
      </c>
      <c r="H115" s="82"/>
      <c r="I115" s="82"/>
      <c r="J115" s="82"/>
      <c r="K115" s="95">
        <f t="shared" si="0"/>
        <v>9470</v>
      </c>
    </row>
    <row r="116" spans="1:11" ht="33" customHeight="1">
      <c r="A116" s="14"/>
      <c r="B116" s="54"/>
      <c r="C116" s="89"/>
      <c r="D116" s="89"/>
      <c r="E116" s="90"/>
      <c r="F116" s="106"/>
      <c r="G116" s="82" t="s">
        <v>496</v>
      </c>
      <c r="H116" s="82"/>
      <c r="I116" s="82"/>
      <c r="J116" s="82"/>
      <c r="K116" s="95">
        <f t="shared" si="0"/>
        <v>9470</v>
      </c>
    </row>
    <row r="117" spans="1:11" ht="30" customHeight="1">
      <c r="A117" s="14"/>
      <c r="B117" s="54"/>
      <c r="C117" s="89"/>
      <c r="D117" s="89"/>
      <c r="E117" s="90"/>
      <c r="F117" s="106"/>
      <c r="G117" s="82" t="s">
        <v>497</v>
      </c>
      <c r="H117" s="82"/>
      <c r="I117" s="82"/>
      <c r="J117" s="82"/>
      <c r="K117" s="95">
        <f>10000+1500</f>
        <v>11500</v>
      </c>
    </row>
    <row r="118" spans="1:11" ht="32.25" customHeight="1">
      <c r="A118" s="14"/>
      <c r="B118" s="54"/>
      <c r="C118" s="89"/>
      <c r="D118" s="89"/>
      <c r="E118" s="90"/>
      <c r="F118" s="106"/>
      <c r="G118" s="82" t="s">
        <v>498</v>
      </c>
      <c r="H118" s="82"/>
      <c r="I118" s="82"/>
      <c r="J118" s="82"/>
      <c r="K118" s="95">
        <f>10000+1500</f>
        <v>11500</v>
      </c>
    </row>
    <row r="119" spans="1:11" ht="33" customHeight="1">
      <c r="A119" s="14"/>
      <c r="B119" s="54"/>
      <c r="C119" s="89"/>
      <c r="D119" s="89"/>
      <c r="E119" s="90"/>
      <c r="F119" s="106"/>
      <c r="G119" s="82" t="s">
        <v>499</v>
      </c>
      <c r="H119" s="82"/>
      <c r="I119" s="82"/>
      <c r="J119" s="82"/>
      <c r="K119" s="95">
        <f aca="true" t="shared" si="1" ref="K119:K127">10000-530</f>
        <v>9470</v>
      </c>
    </row>
    <row r="120" spans="1:11" ht="30" customHeight="1">
      <c r="A120" s="14"/>
      <c r="B120" s="54"/>
      <c r="C120" s="89"/>
      <c r="D120" s="89"/>
      <c r="E120" s="90"/>
      <c r="F120" s="106"/>
      <c r="G120" s="82" t="s">
        <v>500</v>
      </c>
      <c r="H120" s="82"/>
      <c r="I120" s="82"/>
      <c r="J120" s="82"/>
      <c r="K120" s="95">
        <f t="shared" si="1"/>
        <v>9470</v>
      </c>
    </row>
    <row r="121" spans="1:11" ht="30" customHeight="1">
      <c r="A121" s="14"/>
      <c r="B121" s="54"/>
      <c r="C121" s="89"/>
      <c r="D121" s="89"/>
      <c r="E121" s="90"/>
      <c r="F121" s="106"/>
      <c r="G121" s="82" t="s">
        <v>501</v>
      </c>
      <c r="H121" s="82"/>
      <c r="I121" s="82"/>
      <c r="J121" s="82"/>
      <c r="K121" s="95">
        <f t="shared" si="1"/>
        <v>9470</v>
      </c>
    </row>
    <row r="122" spans="1:11" ht="30" customHeight="1">
      <c r="A122" s="14"/>
      <c r="B122" s="54"/>
      <c r="C122" s="89"/>
      <c r="D122" s="89"/>
      <c r="E122" s="90"/>
      <c r="F122" s="106"/>
      <c r="G122" s="82" t="s">
        <v>502</v>
      </c>
      <c r="H122" s="82"/>
      <c r="I122" s="82"/>
      <c r="J122" s="82"/>
      <c r="K122" s="95">
        <f t="shared" si="1"/>
        <v>9470</v>
      </c>
    </row>
    <row r="123" spans="1:11" ht="30" customHeight="1">
      <c r="A123" s="14"/>
      <c r="B123" s="54"/>
      <c r="C123" s="89"/>
      <c r="D123" s="89"/>
      <c r="E123" s="90"/>
      <c r="F123" s="106"/>
      <c r="G123" s="82" t="s">
        <v>503</v>
      </c>
      <c r="H123" s="82"/>
      <c r="I123" s="82"/>
      <c r="J123" s="82"/>
      <c r="K123" s="95">
        <f t="shared" si="1"/>
        <v>9470</v>
      </c>
    </row>
    <row r="124" spans="1:11" ht="32.25" customHeight="1">
      <c r="A124" s="14"/>
      <c r="B124" s="54"/>
      <c r="C124" s="89"/>
      <c r="D124" s="89"/>
      <c r="E124" s="90"/>
      <c r="F124" s="106"/>
      <c r="G124" s="82" t="s">
        <v>504</v>
      </c>
      <c r="H124" s="82"/>
      <c r="I124" s="82"/>
      <c r="J124" s="82"/>
      <c r="K124" s="95">
        <f t="shared" si="1"/>
        <v>9470</v>
      </c>
    </row>
    <row r="125" spans="1:11" ht="32.25" customHeight="1">
      <c r="A125" s="14"/>
      <c r="B125" s="54"/>
      <c r="C125" s="89"/>
      <c r="D125" s="89"/>
      <c r="E125" s="90"/>
      <c r="F125" s="106"/>
      <c r="G125" s="82" t="s">
        <v>505</v>
      </c>
      <c r="H125" s="82"/>
      <c r="I125" s="82"/>
      <c r="J125" s="82"/>
      <c r="K125" s="95">
        <f t="shared" si="1"/>
        <v>9470</v>
      </c>
    </row>
    <row r="126" spans="1:11" ht="32.25" customHeight="1">
      <c r="A126" s="14"/>
      <c r="B126" s="54"/>
      <c r="C126" s="89"/>
      <c r="D126" s="89"/>
      <c r="E126" s="90"/>
      <c r="F126" s="106"/>
      <c r="G126" s="82" t="s">
        <v>506</v>
      </c>
      <c r="H126" s="82"/>
      <c r="I126" s="82"/>
      <c r="J126" s="82"/>
      <c r="K126" s="95">
        <f t="shared" si="1"/>
        <v>9470</v>
      </c>
    </row>
    <row r="127" spans="1:11" ht="31.5" customHeight="1">
      <c r="A127" s="14"/>
      <c r="B127" s="54"/>
      <c r="C127" s="89"/>
      <c r="D127" s="89"/>
      <c r="E127" s="90"/>
      <c r="F127" s="106"/>
      <c r="G127" s="82" t="s">
        <v>9</v>
      </c>
      <c r="H127" s="82"/>
      <c r="I127" s="82"/>
      <c r="J127" s="82"/>
      <c r="K127" s="95">
        <f t="shared" si="1"/>
        <v>9470</v>
      </c>
    </row>
    <row r="128" spans="1:11" ht="32.25" customHeight="1">
      <c r="A128" s="14"/>
      <c r="B128" s="54"/>
      <c r="C128" s="89"/>
      <c r="D128" s="89"/>
      <c r="E128" s="90"/>
      <c r="F128" s="106"/>
      <c r="G128" s="82" t="s">
        <v>10</v>
      </c>
      <c r="H128" s="82"/>
      <c r="I128" s="82"/>
      <c r="J128" s="82"/>
      <c r="K128" s="95">
        <f>10000+1500</f>
        <v>11500</v>
      </c>
    </row>
    <row r="129" spans="1:11" ht="33.75" customHeight="1">
      <c r="A129" s="14"/>
      <c r="B129" s="54"/>
      <c r="C129" s="89"/>
      <c r="D129" s="89"/>
      <c r="E129" s="90"/>
      <c r="F129" s="106"/>
      <c r="G129" s="82" t="s">
        <v>507</v>
      </c>
      <c r="H129" s="82"/>
      <c r="I129" s="82"/>
      <c r="J129" s="82"/>
      <c r="K129" s="95">
        <f>10000-530</f>
        <v>9470</v>
      </c>
    </row>
    <row r="130" spans="1:11" ht="51.75" customHeight="1">
      <c r="A130" s="14"/>
      <c r="B130" s="54"/>
      <c r="C130" s="89" t="s">
        <v>344</v>
      </c>
      <c r="D130" s="89" t="s">
        <v>209</v>
      </c>
      <c r="E130" s="90" t="s">
        <v>206</v>
      </c>
      <c r="F130" s="106" t="s">
        <v>383</v>
      </c>
      <c r="G130" s="82" t="s">
        <v>431</v>
      </c>
      <c r="H130" s="82"/>
      <c r="I130" s="82"/>
      <c r="J130" s="82"/>
      <c r="K130" s="95">
        <f>100000+191729</f>
        <v>291729</v>
      </c>
    </row>
    <row r="131" spans="1:11" ht="76.5" customHeight="1">
      <c r="A131" s="14"/>
      <c r="B131" s="54"/>
      <c r="C131" s="89" t="s">
        <v>344</v>
      </c>
      <c r="D131" s="89" t="s">
        <v>209</v>
      </c>
      <c r="E131" s="90" t="s">
        <v>206</v>
      </c>
      <c r="F131" s="106" t="s">
        <v>383</v>
      </c>
      <c r="G131" s="82" t="s">
        <v>286</v>
      </c>
      <c r="H131" s="82"/>
      <c r="I131" s="82"/>
      <c r="J131" s="82"/>
      <c r="K131" s="95">
        <v>10000</v>
      </c>
    </row>
    <row r="132" spans="1:11" ht="36" customHeight="1">
      <c r="A132" s="14"/>
      <c r="B132" s="54"/>
      <c r="C132" s="68" t="s">
        <v>231</v>
      </c>
      <c r="D132" s="17"/>
      <c r="E132" s="59"/>
      <c r="F132" s="56" t="s">
        <v>190</v>
      </c>
      <c r="G132" s="82"/>
      <c r="H132" s="82"/>
      <c r="I132" s="82"/>
      <c r="J132" s="82"/>
      <c r="K132" s="86">
        <f>SUM(K133,K140,K171:K173,K176:K184,K191,K194,K200,K208:K209,K220,K223:K228)</f>
        <v>72496468</v>
      </c>
    </row>
    <row r="133" spans="1:11" ht="69.75" customHeight="1">
      <c r="A133" s="14"/>
      <c r="B133" s="54"/>
      <c r="C133" s="89" t="s">
        <v>208</v>
      </c>
      <c r="D133" s="89" t="s">
        <v>209</v>
      </c>
      <c r="E133" s="90" t="s">
        <v>206</v>
      </c>
      <c r="F133" s="106" t="s">
        <v>383</v>
      </c>
      <c r="G133" s="82" t="s">
        <v>287</v>
      </c>
      <c r="H133" s="82"/>
      <c r="I133" s="82"/>
      <c r="J133" s="82"/>
      <c r="K133" s="86">
        <f>1022000-79600-10847</f>
        <v>931553</v>
      </c>
    </row>
    <row r="134" spans="1:11" ht="27.75" customHeight="1">
      <c r="A134" s="14"/>
      <c r="B134" s="54"/>
      <c r="C134" s="78"/>
      <c r="D134" s="78"/>
      <c r="E134" s="79"/>
      <c r="F134" s="78"/>
      <c r="G134" s="82" t="s">
        <v>288</v>
      </c>
      <c r="H134" s="82"/>
      <c r="I134" s="82"/>
      <c r="J134" s="82"/>
      <c r="K134" s="95">
        <f>230400-15837</f>
        <v>214563</v>
      </c>
    </row>
    <row r="135" spans="1:11" ht="27.75" customHeight="1">
      <c r="A135" s="14"/>
      <c r="B135" s="54"/>
      <c r="C135" s="78"/>
      <c r="D135" s="78"/>
      <c r="E135" s="79"/>
      <c r="F135" s="78"/>
      <c r="G135" s="82" t="s">
        <v>294</v>
      </c>
      <c r="H135" s="82"/>
      <c r="I135" s="82"/>
      <c r="J135" s="82"/>
      <c r="K135" s="95">
        <v>76653</v>
      </c>
    </row>
    <row r="136" spans="1:11" ht="27.75" customHeight="1">
      <c r="A136" s="14"/>
      <c r="B136" s="54"/>
      <c r="C136" s="78"/>
      <c r="D136" s="78"/>
      <c r="E136" s="79"/>
      <c r="F136" s="78"/>
      <c r="G136" s="82" t="s">
        <v>430</v>
      </c>
      <c r="H136" s="82"/>
      <c r="I136" s="82"/>
      <c r="J136" s="82"/>
      <c r="K136" s="95">
        <f>80000-1600</f>
        <v>78400</v>
      </c>
    </row>
    <row r="137" spans="1:11" ht="27.75" customHeight="1">
      <c r="A137" s="14"/>
      <c r="B137" s="54"/>
      <c r="C137" s="78"/>
      <c r="D137" s="78"/>
      <c r="E137" s="79"/>
      <c r="F137" s="78"/>
      <c r="G137" s="82" t="s">
        <v>331</v>
      </c>
      <c r="H137" s="82"/>
      <c r="I137" s="82"/>
      <c r="J137" s="82"/>
      <c r="K137" s="95">
        <f>150000+24000+8000-9000</f>
        <v>173000</v>
      </c>
    </row>
    <row r="138" spans="1:11" ht="48" customHeight="1">
      <c r="A138" s="14"/>
      <c r="B138" s="54"/>
      <c r="C138" s="78"/>
      <c r="D138" s="78"/>
      <c r="E138" s="79"/>
      <c r="F138" s="78"/>
      <c r="G138" s="82" t="s">
        <v>289</v>
      </c>
      <c r="H138" s="82"/>
      <c r="I138" s="82"/>
      <c r="J138" s="82"/>
      <c r="K138" s="95">
        <f>153600-79600-247</f>
        <v>73753</v>
      </c>
    </row>
    <row r="139" spans="1:11" ht="48" customHeight="1">
      <c r="A139" s="14"/>
      <c r="B139" s="54"/>
      <c r="C139" s="78"/>
      <c r="D139" s="78"/>
      <c r="E139" s="79"/>
      <c r="F139" s="78"/>
      <c r="G139" s="82" t="s">
        <v>290</v>
      </c>
      <c r="H139" s="82"/>
      <c r="I139" s="82"/>
      <c r="J139" s="82"/>
      <c r="K139" s="95">
        <f>384000-68816</f>
        <v>315184</v>
      </c>
    </row>
    <row r="140" spans="1:11" ht="69.75" customHeight="1">
      <c r="A140" s="14"/>
      <c r="B140" s="54"/>
      <c r="C140" s="89" t="s">
        <v>208</v>
      </c>
      <c r="D140" s="89" t="s">
        <v>209</v>
      </c>
      <c r="E140" s="90" t="s">
        <v>206</v>
      </c>
      <c r="F140" s="106" t="s">
        <v>383</v>
      </c>
      <c r="G140" s="82" t="s">
        <v>291</v>
      </c>
      <c r="H140" s="82"/>
      <c r="I140" s="82"/>
      <c r="J140" s="82"/>
      <c r="K140" s="86">
        <f>SUM(K141:K170)</f>
        <v>3408900</v>
      </c>
    </row>
    <row r="141" spans="1:11" ht="45.75" customHeight="1">
      <c r="A141" s="14"/>
      <c r="B141" s="54"/>
      <c r="C141" s="78"/>
      <c r="D141" s="78"/>
      <c r="E141" s="79"/>
      <c r="F141" s="78"/>
      <c r="G141" s="82" t="s">
        <v>292</v>
      </c>
      <c r="H141" s="82"/>
      <c r="I141" s="82"/>
      <c r="J141" s="82"/>
      <c r="K141" s="95">
        <f>100000+100000-108000</f>
        <v>92000</v>
      </c>
    </row>
    <row r="142" spans="1:11" ht="24.75" customHeight="1">
      <c r="A142" s="14"/>
      <c r="B142" s="54"/>
      <c r="C142" s="78"/>
      <c r="D142" s="78"/>
      <c r="E142" s="79"/>
      <c r="F142" s="78"/>
      <c r="G142" s="82" t="s">
        <v>166</v>
      </c>
      <c r="H142" s="82"/>
      <c r="I142" s="82"/>
      <c r="J142" s="82"/>
      <c r="K142" s="95">
        <v>29000</v>
      </c>
    </row>
    <row r="143" spans="1:11" ht="24.75" customHeight="1">
      <c r="A143" s="14"/>
      <c r="B143" s="54"/>
      <c r="C143" s="78"/>
      <c r="D143" s="78"/>
      <c r="E143" s="79"/>
      <c r="F143" s="78"/>
      <c r="G143" s="82" t="s">
        <v>167</v>
      </c>
      <c r="H143" s="82"/>
      <c r="I143" s="82"/>
      <c r="J143" s="82"/>
      <c r="K143" s="95">
        <v>21000</v>
      </c>
    </row>
    <row r="144" spans="1:11" ht="24.75" customHeight="1">
      <c r="A144" s="14"/>
      <c r="B144" s="54"/>
      <c r="C144" s="78"/>
      <c r="D144" s="78"/>
      <c r="E144" s="79"/>
      <c r="F144" s="78"/>
      <c r="G144" s="82" t="s">
        <v>168</v>
      </c>
      <c r="H144" s="82"/>
      <c r="I144" s="82"/>
      <c r="J144" s="82"/>
      <c r="K144" s="95">
        <v>21000</v>
      </c>
    </row>
    <row r="145" spans="1:11" ht="24.75" customHeight="1">
      <c r="A145" s="14"/>
      <c r="B145" s="54"/>
      <c r="C145" s="78"/>
      <c r="D145" s="78"/>
      <c r="E145" s="79"/>
      <c r="F145" s="78"/>
      <c r="G145" s="82" t="s">
        <v>169</v>
      </c>
      <c r="H145" s="82"/>
      <c r="I145" s="82"/>
      <c r="J145" s="82"/>
      <c r="K145" s="95">
        <v>48100</v>
      </c>
    </row>
    <row r="146" spans="1:11" ht="24.75" customHeight="1">
      <c r="A146" s="14"/>
      <c r="B146" s="54"/>
      <c r="C146" s="78"/>
      <c r="D146" s="78"/>
      <c r="E146" s="79"/>
      <c r="F146" s="78"/>
      <c r="G146" s="82" t="s">
        <v>170</v>
      </c>
      <c r="H146" s="82"/>
      <c r="I146" s="82"/>
      <c r="J146" s="82"/>
      <c r="K146" s="95">
        <v>21000</v>
      </c>
    </row>
    <row r="147" spans="1:11" ht="27.75" customHeight="1">
      <c r="A147" s="14"/>
      <c r="B147" s="54"/>
      <c r="C147" s="78"/>
      <c r="D147" s="78"/>
      <c r="E147" s="79"/>
      <c r="F147" s="78"/>
      <c r="G147" s="82" t="s">
        <v>293</v>
      </c>
      <c r="H147" s="82"/>
      <c r="I147" s="82"/>
      <c r="J147" s="82"/>
      <c r="K147" s="95">
        <v>30000</v>
      </c>
    </row>
    <row r="148" spans="1:11" ht="27.75" customHeight="1">
      <c r="A148" s="14"/>
      <c r="B148" s="54"/>
      <c r="C148" s="78"/>
      <c r="D148" s="78"/>
      <c r="E148" s="79"/>
      <c r="F148" s="78"/>
      <c r="G148" s="82" t="s">
        <v>294</v>
      </c>
      <c r="H148" s="82"/>
      <c r="I148" s="82"/>
      <c r="J148" s="82"/>
      <c r="K148" s="95">
        <v>30000</v>
      </c>
    </row>
    <row r="149" spans="1:11" ht="27.75" customHeight="1">
      <c r="A149" s="14"/>
      <c r="B149" s="54"/>
      <c r="C149" s="78"/>
      <c r="D149" s="78"/>
      <c r="E149" s="79"/>
      <c r="F149" s="78"/>
      <c r="G149" s="82" t="s">
        <v>295</v>
      </c>
      <c r="H149" s="82"/>
      <c r="I149" s="82"/>
      <c r="J149" s="82"/>
      <c r="K149" s="95">
        <v>30000</v>
      </c>
    </row>
    <row r="150" spans="1:11" ht="27.75" customHeight="1">
      <c r="A150" s="14"/>
      <c r="B150" s="54"/>
      <c r="C150" s="78"/>
      <c r="D150" s="78"/>
      <c r="E150" s="79"/>
      <c r="F150" s="78"/>
      <c r="G150" s="82" t="s">
        <v>296</v>
      </c>
      <c r="H150" s="82"/>
      <c r="I150" s="82"/>
      <c r="J150" s="82"/>
      <c r="K150" s="95">
        <v>30000</v>
      </c>
    </row>
    <row r="151" spans="1:11" ht="27.75" customHeight="1">
      <c r="A151" s="14"/>
      <c r="B151" s="54"/>
      <c r="C151" s="78"/>
      <c r="D151" s="78"/>
      <c r="E151" s="79"/>
      <c r="F151" s="78"/>
      <c r="G151" s="82" t="s">
        <v>297</v>
      </c>
      <c r="H151" s="82"/>
      <c r="I151" s="82"/>
      <c r="J151" s="82"/>
      <c r="K151" s="95">
        <f>30000+500000</f>
        <v>530000</v>
      </c>
    </row>
    <row r="152" spans="1:11" ht="27.75" customHeight="1">
      <c r="A152" s="14"/>
      <c r="B152" s="54"/>
      <c r="C152" s="78"/>
      <c r="D152" s="78"/>
      <c r="E152" s="79"/>
      <c r="F152" s="78"/>
      <c r="G152" s="82" t="s">
        <v>298</v>
      </c>
      <c r="H152" s="82"/>
      <c r="I152" s="82"/>
      <c r="J152" s="82"/>
      <c r="K152" s="95">
        <f>30000-3000</f>
        <v>27000</v>
      </c>
    </row>
    <row r="153" spans="1:11" ht="27.75" customHeight="1">
      <c r="A153" s="14"/>
      <c r="B153" s="54"/>
      <c r="C153" s="78"/>
      <c r="D153" s="78"/>
      <c r="E153" s="79"/>
      <c r="F153" s="78"/>
      <c r="G153" s="82" t="s">
        <v>299</v>
      </c>
      <c r="H153" s="82"/>
      <c r="I153" s="82"/>
      <c r="J153" s="82"/>
      <c r="K153" s="95">
        <v>30000</v>
      </c>
    </row>
    <row r="154" spans="1:11" ht="27.75" customHeight="1">
      <c r="A154" s="14"/>
      <c r="B154" s="54"/>
      <c r="C154" s="78"/>
      <c r="D154" s="78"/>
      <c r="E154" s="79"/>
      <c r="F154" s="78"/>
      <c r="G154" s="82" t="s">
        <v>318</v>
      </c>
      <c r="H154" s="82"/>
      <c r="I154" s="82"/>
      <c r="J154" s="82"/>
      <c r="K154" s="95">
        <v>30000</v>
      </c>
    </row>
    <row r="155" spans="1:11" ht="27.75" customHeight="1">
      <c r="A155" s="14"/>
      <c r="B155" s="54"/>
      <c r="C155" s="78"/>
      <c r="D155" s="78"/>
      <c r="E155" s="79"/>
      <c r="F155" s="78"/>
      <c r="G155" s="82" t="s">
        <v>300</v>
      </c>
      <c r="H155" s="82"/>
      <c r="I155" s="82"/>
      <c r="J155" s="82"/>
      <c r="K155" s="95">
        <f>30000-15000</f>
        <v>15000</v>
      </c>
    </row>
    <row r="156" spans="1:11" ht="27.75" customHeight="1">
      <c r="A156" s="14"/>
      <c r="B156" s="54"/>
      <c r="C156" s="78"/>
      <c r="D156" s="78"/>
      <c r="E156" s="79"/>
      <c r="F156" s="78"/>
      <c r="G156" s="82" t="s">
        <v>301</v>
      </c>
      <c r="H156" s="82"/>
      <c r="I156" s="82"/>
      <c r="J156" s="82"/>
      <c r="K156" s="95">
        <v>30000</v>
      </c>
    </row>
    <row r="157" spans="1:11" ht="27.75" customHeight="1">
      <c r="A157" s="14"/>
      <c r="B157" s="54"/>
      <c r="C157" s="78"/>
      <c r="D157" s="78"/>
      <c r="E157" s="79"/>
      <c r="F157" s="78"/>
      <c r="G157" s="82" t="s">
        <v>302</v>
      </c>
      <c r="H157" s="82"/>
      <c r="I157" s="82"/>
      <c r="J157" s="82"/>
      <c r="K157" s="95">
        <f>30000-15000</f>
        <v>15000</v>
      </c>
    </row>
    <row r="158" spans="1:11" ht="27.75" customHeight="1">
      <c r="A158" s="14"/>
      <c r="B158" s="54"/>
      <c r="C158" s="78"/>
      <c r="D158" s="78"/>
      <c r="E158" s="79"/>
      <c r="F158" s="78"/>
      <c r="G158" s="82" t="s">
        <v>140</v>
      </c>
      <c r="H158" s="82"/>
      <c r="I158" s="82"/>
      <c r="J158" s="82"/>
      <c r="K158" s="95">
        <f>172100+80000</f>
        <v>252100</v>
      </c>
    </row>
    <row r="159" spans="1:11" ht="31.5" customHeight="1">
      <c r="A159" s="14"/>
      <c r="B159" s="54"/>
      <c r="C159" s="78"/>
      <c r="D159" s="78"/>
      <c r="E159" s="79"/>
      <c r="F159" s="78"/>
      <c r="G159" s="82" t="s">
        <v>11</v>
      </c>
      <c r="H159" s="82"/>
      <c r="I159" s="82"/>
      <c r="J159" s="82"/>
      <c r="K159" s="95">
        <v>30000</v>
      </c>
    </row>
    <row r="160" spans="1:11" ht="30" customHeight="1">
      <c r="A160" s="14"/>
      <c r="B160" s="54"/>
      <c r="C160" s="78"/>
      <c r="D160" s="78"/>
      <c r="E160" s="79"/>
      <c r="F160" s="78"/>
      <c r="G160" s="82" t="s">
        <v>303</v>
      </c>
      <c r="H160" s="82"/>
      <c r="I160" s="82"/>
      <c r="J160" s="82"/>
      <c r="K160" s="95">
        <v>30000</v>
      </c>
    </row>
    <row r="161" spans="1:11" ht="36.75" customHeight="1">
      <c r="A161" s="14"/>
      <c r="B161" s="54"/>
      <c r="C161" s="78"/>
      <c r="D161" s="78"/>
      <c r="E161" s="79"/>
      <c r="F161" s="78"/>
      <c r="G161" s="82" t="s">
        <v>304</v>
      </c>
      <c r="H161" s="82"/>
      <c r="I161" s="82"/>
      <c r="J161" s="82"/>
      <c r="K161" s="95">
        <v>30000</v>
      </c>
    </row>
    <row r="162" spans="1:11" ht="30" customHeight="1">
      <c r="A162" s="14"/>
      <c r="B162" s="54"/>
      <c r="C162" s="78"/>
      <c r="D162" s="78"/>
      <c r="E162" s="79"/>
      <c r="F162" s="78"/>
      <c r="G162" s="82" t="s">
        <v>305</v>
      </c>
      <c r="H162" s="82"/>
      <c r="I162" s="82"/>
      <c r="J162" s="82"/>
      <c r="K162" s="95">
        <v>30000</v>
      </c>
    </row>
    <row r="163" spans="1:11" ht="30" customHeight="1">
      <c r="A163" s="14"/>
      <c r="B163" s="54"/>
      <c r="C163" s="78"/>
      <c r="D163" s="78"/>
      <c r="E163" s="79"/>
      <c r="F163" s="78"/>
      <c r="G163" s="82" t="s">
        <v>12</v>
      </c>
      <c r="H163" s="82"/>
      <c r="I163" s="82"/>
      <c r="J163" s="82"/>
      <c r="K163" s="95">
        <f>300000+800000-200000-8000-276</f>
        <v>891724</v>
      </c>
    </row>
    <row r="164" spans="1:11" ht="30" customHeight="1">
      <c r="A164" s="14"/>
      <c r="B164" s="54"/>
      <c r="C164" s="78"/>
      <c r="D164" s="78"/>
      <c r="E164" s="79"/>
      <c r="F164" s="78"/>
      <c r="G164" s="82" t="s">
        <v>136</v>
      </c>
      <c r="H164" s="82"/>
      <c r="I164" s="82"/>
      <c r="J164" s="82"/>
      <c r="K164" s="95">
        <f>200000+40000</f>
        <v>240000</v>
      </c>
    </row>
    <row r="165" spans="1:11" ht="30" customHeight="1">
      <c r="A165" s="14"/>
      <c r="B165" s="54"/>
      <c r="C165" s="78"/>
      <c r="D165" s="78"/>
      <c r="E165" s="79"/>
      <c r="F165" s="78"/>
      <c r="G165" s="82" t="s">
        <v>306</v>
      </c>
      <c r="H165" s="82"/>
      <c r="I165" s="82"/>
      <c r="J165" s="82"/>
      <c r="K165" s="95">
        <f>150000+450000-195000-1965</f>
        <v>403035</v>
      </c>
    </row>
    <row r="166" spans="1:11" ht="30" customHeight="1">
      <c r="A166" s="14"/>
      <c r="B166" s="54"/>
      <c r="C166" s="78"/>
      <c r="D166" s="78"/>
      <c r="E166" s="79"/>
      <c r="F166" s="78"/>
      <c r="G166" s="82" t="s">
        <v>420</v>
      </c>
      <c r="H166" s="82"/>
      <c r="I166" s="82"/>
      <c r="J166" s="82"/>
      <c r="K166" s="95">
        <f>100000+100000-9166</f>
        <v>190834</v>
      </c>
    </row>
    <row r="167" spans="1:11" ht="30" customHeight="1">
      <c r="A167" s="14"/>
      <c r="B167" s="54"/>
      <c r="C167" s="78"/>
      <c r="D167" s="78"/>
      <c r="E167" s="79"/>
      <c r="F167" s="78"/>
      <c r="G167" s="82" t="s">
        <v>22</v>
      </c>
      <c r="H167" s="82"/>
      <c r="I167" s="82"/>
      <c r="J167" s="82"/>
      <c r="K167" s="95">
        <f>15000-12000</f>
        <v>3000</v>
      </c>
    </row>
    <row r="168" spans="1:11" ht="30" customHeight="1">
      <c r="A168" s="14"/>
      <c r="B168" s="54"/>
      <c r="C168" s="78"/>
      <c r="D168" s="78"/>
      <c r="E168" s="79"/>
      <c r="F168" s="78"/>
      <c r="G168" s="82" t="s">
        <v>23</v>
      </c>
      <c r="H168" s="82"/>
      <c r="I168" s="82"/>
      <c r="J168" s="82"/>
      <c r="K168" s="95">
        <f>30000-16500+81215</f>
        <v>94715</v>
      </c>
    </row>
    <row r="169" spans="1:11" ht="31.5" customHeight="1">
      <c r="A169" s="14"/>
      <c r="B169" s="54"/>
      <c r="C169" s="78"/>
      <c r="D169" s="78"/>
      <c r="E169" s="79"/>
      <c r="F169" s="78"/>
      <c r="G169" s="87" t="s">
        <v>24</v>
      </c>
      <c r="H169" s="82"/>
      <c r="I169" s="82"/>
      <c r="J169" s="82"/>
      <c r="K169" s="95">
        <f>200000-45800</f>
        <v>154200</v>
      </c>
    </row>
    <row r="170" spans="1:11" ht="30" customHeight="1">
      <c r="A170" s="14"/>
      <c r="B170" s="54"/>
      <c r="C170" s="78"/>
      <c r="D170" s="78"/>
      <c r="E170" s="79"/>
      <c r="F170" s="78"/>
      <c r="G170" s="82" t="s">
        <v>421</v>
      </c>
      <c r="H170" s="82"/>
      <c r="I170" s="82"/>
      <c r="J170" s="82"/>
      <c r="K170" s="95">
        <f>100000-69808</f>
        <v>30192</v>
      </c>
    </row>
    <row r="171" spans="1:11" ht="120.75" customHeight="1">
      <c r="A171" s="14"/>
      <c r="B171" s="54"/>
      <c r="C171" s="89" t="s">
        <v>208</v>
      </c>
      <c r="D171" s="89" t="s">
        <v>209</v>
      </c>
      <c r="E171" s="90" t="s">
        <v>206</v>
      </c>
      <c r="F171" s="106" t="s">
        <v>383</v>
      </c>
      <c r="G171" s="82" t="s">
        <v>137</v>
      </c>
      <c r="H171" s="82"/>
      <c r="I171" s="82"/>
      <c r="J171" s="82"/>
      <c r="K171" s="95">
        <f>1400000-1300000+95000-95000</f>
        <v>100000</v>
      </c>
    </row>
    <row r="172" spans="1:11" ht="125.25" customHeight="1">
      <c r="A172" s="14"/>
      <c r="B172" s="54"/>
      <c r="C172" s="89" t="s">
        <v>208</v>
      </c>
      <c r="D172" s="89" t="s">
        <v>209</v>
      </c>
      <c r="E172" s="90" t="s">
        <v>206</v>
      </c>
      <c r="F172" s="106" t="s">
        <v>383</v>
      </c>
      <c r="G172" s="87" t="s">
        <v>509</v>
      </c>
      <c r="H172" s="87"/>
      <c r="I172" s="87"/>
      <c r="J172" s="87"/>
      <c r="K172" s="116">
        <v>45000</v>
      </c>
    </row>
    <row r="173" spans="1:11" ht="57" customHeight="1">
      <c r="A173" s="14"/>
      <c r="B173" s="54"/>
      <c r="C173" s="103">
        <v>1216010</v>
      </c>
      <c r="D173" s="103">
        <v>6010</v>
      </c>
      <c r="E173" s="104"/>
      <c r="F173" s="108" t="s">
        <v>384</v>
      </c>
      <c r="G173" s="82"/>
      <c r="H173" s="82"/>
      <c r="I173" s="82"/>
      <c r="J173" s="82"/>
      <c r="K173" s="86">
        <f>SUM(K174:K175)</f>
        <v>3846000</v>
      </c>
    </row>
    <row r="174" spans="1:11" ht="50.25" customHeight="1">
      <c r="A174" s="14"/>
      <c r="B174" s="54"/>
      <c r="C174" s="88">
        <v>1216011</v>
      </c>
      <c r="D174" s="88">
        <v>6011</v>
      </c>
      <c r="E174" s="90" t="s">
        <v>212</v>
      </c>
      <c r="F174" s="106" t="s">
        <v>385</v>
      </c>
      <c r="G174" s="82" t="s">
        <v>307</v>
      </c>
      <c r="H174" s="82"/>
      <c r="I174" s="82"/>
      <c r="J174" s="82"/>
      <c r="K174" s="95">
        <f>500000+726000+110000</f>
        <v>1336000</v>
      </c>
    </row>
    <row r="175" spans="1:11" ht="48" customHeight="1">
      <c r="A175" s="14"/>
      <c r="B175" s="54"/>
      <c r="C175" s="88">
        <v>1216015</v>
      </c>
      <c r="D175" s="88">
        <v>6015</v>
      </c>
      <c r="E175" s="90" t="s">
        <v>212</v>
      </c>
      <c r="F175" s="106" t="s">
        <v>386</v>
      </c>
      <c r="G175" s="82" t="s">
        <v>308</v>
      </c>
      <c r="H175" s="82"/>
      <c r="I175" s="82"/>
      <c r="J175" s="82"/>
      <c r="K175" s="95">
        <f>500000+500000+500000+160000+850000</f>
        <v>2510000</v>
      </c>
    </row>
    <row r="176" spans="1:11" ht="45" customHeight="1">
      <c r="A176" s="14"/>
      <c r="B176" s="54"/>
      <c r="C176" s="88">
        <v>1216030</v>
      </c>
      <c r="D176" s="88">
        <v>6030</v>
      </c>
      <c r="E176" s="90" t="s">
        <v>212</v>
      </c>
      <c r="F176" s="106" t="s">
        <v>387</v>
      </c>
      <c r="G176" s="82" t="s">
        <v>309</v>
      </c>
      <c r="H176" s="82"/>
      <c r="I176" s="82"/>
      <c r="J176" s="82"/>
      <c r="K176" s="95">
        <f>500000+200000+5000000+1550000-500000+550000-638346</f>
        <v>6661654</v>
      </c>
    </row>
    <row r="177" spans="1:11" ht="43.5" customHeight="1">
      <c r="A177" s="14"/>
      <c r="B177" s="54"/>
      <c r="C177" s="88">
        <v>1216030</v>
      </c>
      <c r="D177" s="88">
        <v>6030</v>
      </c>
      <c r="E177" s="90" t="s">
        <v>212</v>
      </c>
      <c r="F177" s="106" t="s">
        <v>387</v>
      </c>
      <c r="G177" s="82" t="s">
        <v>310</v>
      </c>
      <c r="H177" s="82"/>
      <c r="I177" s="82"/>
      <c r="J177" s="82"/>
      <c r="K177" s="95">
        <f>4445000+7800000+4900000+4674979-3046488-500000-182931</f>
        <v>18090560</v>
      </c>
    </row>
    <row r="178" spans="1:11" ht="48" customHeight="1">
      <c r="A178" s="14"/>
      <c r="B178" s="54"/>
      <c r="C178" s="88">
        <v>1216030</v>
      </c>
      <c r="D178" s="88">
        <v>6030</v>
      </c>
      <c r="E178" s="90" t="s">
        <v>212</v>
      </c>
      <c r="F178" s="106" t="s">
        <v>387</v>
      </c>
      <c r="G178" s="82" t="s">
        <v>311</v>
      </c>
      <c r="H178" s="82"/>
      <c r="I178" s="82"/>
      <c r="J178" s="82"/>
      <c r="K178" s="95">
        <f>5026391-80000-300000-200000-30000+4520000+2290000+518000+500000+250000+1021705-1035997</f>
        <v>12480099</v>
      </c>
    </row>
    <row r="179" spans="1:11" ht="51.75" customHeight="1">
      <c r="A179" s="14"/>
      <c r="B179" s="54"/>
      <c r="C179" s="88">
        <v>1216030</v>
      </c>
      <c r="D179" s="88">
        <v>6030</v>
      </c>
      <c r="E179" s="90" t="s">
        <v>212</v>
      </c>
      <c r="F179" s="106" t="s">
        <v>387</v>
      </c>
      <c r="G179" s="82" t="s">
        <v>312</v>
      </c>
      <c r="H179" s="82"/>
      <c r="I179" s="82"/>
      <c r="J179" s="82"/>
      <c r="K179" s="95">
        <f>280000-120000-82000</f>
        <v>78000</v>
      </c>
    </row>
    <row r="180" spans="1:11" ht="47.25" customHeight="1">
      <c r="A180" s="14"/>
      <c r="B180" s="54"/>
      <c r="C180" s="88">
        <v>1216030</v>
      </c>
      <c r="D180" s="88">
        <v>6030</v>
      </c>
      <c r="E180" s="90" t="s">
        <v>212</v>
      </c>
      <c r="F180" s="106" t="s">
        <v>387</v>
      </c>
      <c r="G180" s="82" t="s">
        <v>313</v>
      </c>
      <c r="H180" s="82"/>
      <c r="I180" s="82"/>
      <c r="J180" s="82"/>
      <c r="K180" s="95">
        <f>1135000+150000+200000-650880</f>
        <v>834120</v>
      </c>
    </row>
    <row r="181" spans="1:11" ht="45" customHeight="1">
      <c r="A181" s="14"/>
      <c r="B181" s="54"/>
      <c r="C181" s="88">
        <v>1216030</v>
      </c>
      <c r="D181" s="88">
        <v>6030</v>
      </c>
      <c r="E181" s="90" t="s">
        <v>212</v>
      </c>
      <c r="F181" s="106" t="s">
        <v>387</v>
      </c>
      <c r="G181" s="82" t="s">
        <v>314</v>
      </c>
      <c r="H181" s="82"/>
      <c r="I181" s="82"/>
      <c r="J181" s="82"/>
      <c r="K181" s="95">
        <f>500000+400000+100000+500000</f>
        <v>1500000</v>
      </c>
    </row>
    <row r="182" spans="1:11" ht="49.5" customHeight="1">
      <c r="A182" s="14"/>
      <c r="B182" s="54"/>
      <c r="C182" s="88">
        <v>1216030</v>
      </c>
      <c r="D182" s="88">
        <v>6030</v>
      </c>
      <c r="E182" s="90" t="s">
        <v>212</v>
      </c>
      <c r="F182" s="106" t="s">
        <v>387</v>
      </c>
      <c r="G182" s="82" t="s">
        <v>315</v>
      </c>
      <c r="H182" s="82"/>
      <c r="I182" s="82"/>
      <c r="J182" s="82"/>
      <c r="K182" s="95">
        <f>450000+29700000-21000000-300000+2325223</f>
        <v>11175223</v>
      </c>
    </row>
    <row r="183" spans="1:11" ht="49.5" customHeight="1">
      <c r="A183" s="14"/>
      <c r="B183" s="54"/>
      <c r="C183" s="88">
        <v>1216030</v>
      </c>
      <c r="D183" s="88">
        <v>6030</v>
      </c>
      <c r="E183" s="90" t="s">
        <v>212</v>
      </c>
      <c r="F183" s="106" t="s">
        <v>387</v>
      </c>
      <c r="G183" s="82" t="s">
        <v>422</v>
      </c>
      <c r="H183" s="82"/>
      <c r="I183" s="82"/>
      <c r="J183" s="82"/>
      <c r="K183" s="95">
        <f>1490000+200000-200000-2400</f>
        <v>1487600</v>
      </c>
    </row>
    <row r="184" spans="1:11" ht="48" customHeight="1">
      <c r="A184" s="14"/>
      <c r="B184" s="54"/>
      <c r="C184" s="89" t="s">
        <v>208</v>
      </c>
      <c r="D184" s="89" t="s">
        <v>209</v>
      </c>
      <c r="E184" s="90" t="s">
        <v>206</v>
      </c>
      <c r="F184" s="106" t="s">
        <v>383</v>
      </c>
      <c r="G184" s="82" t="s">
        <v>316</v>
      </c>
      <c r="H184" s="82"/>
      <c r="I184" s="82"/>
      <c r="J184" s="82"/>
      <c r="K184" s="86">
        <f>550000-160000-102186</f>
        <v>287814</v>
      </c>
    </row>
    <row r="185" spans="1:11" ht="30" customHeight="1">
      <c r="A185" s="14"/>
      <c r="B185" s="54"/>
      <c r="C185" s="78"/>
      <c r="D185" s="78"/>
      <c r="E185" s="93"/>
      <c r="F185" s="78"/>
      <c r="G185" s="82" t="s">
        <v>317</v>
      </c>
      <c r="H185" s="82"/>
      <c r="I185" s="82"/>
      <c r="J185" s="82"/>
      <c r="K185" s="95">
        <f>100000-30000-16572</f>
        <v>53428</v>
      </c>
    </row>
    <row r="186" spans="1:11" ht="30" customHeight="1">
      <c r="A186" s="14"/>
      <c r="B186" s="54"/>
      <c r="C186" s="78"/>
      <c r="D186" s="78"/>
      <c r="E186" s="93"/>
      <c r="F186" s="78"/>
      <c r="G186" s="82" t="s">
        <v>318</v>
      </c>
      <c r="H186" s="82"/>
      <c r="I186" s="82"/>
      <c r="J186" s="82"/>
      <c r="K186" s="95">
        <f>50000-6274</f>
        <v>43726</v>
      </c>
    </row>
    <row r="187" spans="1:11" ht="30" customHeight="1">
      <c r="A187" s="14"/>
      <c r="B187" s="54"/>
      <c r="C187" s="78"/>
      <c r="D187" s="78"/>
      <c r="E187" s="93"/>
      <c r="F187" s="78"/>
      <c r="G187" s="82" t="s">
        <v>319</v>
      </c>
      <c r="H187" s="82"/>
      <c r="I187" s="82"/>
      <c r="J187" s="82"/>
      <c r="K187" s="95">
        <f>100000-30000-29483</f>
        <v>40517</v>
      </c>
    </row>
    <row r="188" spans="1:11" ht="30" customHeight="1">
      <c r="A188" s="14"/>
      <c r="B188" s="54"/>
      <c r="C188" s="78"/>
      <c r="D188" s="78"/>
      <c r="E188" s="93"/>
      <c r="F188" s="78"/>
      <c r="G188" s="82" t="s">
        <v>320</v>
      </c>
      <c r="H188" s="82"/>
      <c r="I188" s="82"/>
      <c r="J188" s="82"/>
      <c r="K188" s="95">
        <f>100000-30000-29793</f>
        <v>40207</v>
      </c>
    </row>
    <row r="189" spans="1:11" ht="30" customHeight="1">
      <c r="A189" s="14"/>
      <c r="B189" s="54"/>
      <c r="C189" s="78"/>
      <c r="D189" s="78"/>
      <c r="E189" s="93"/>
      <c r="F189" s="78"/>
      <c r="G189" s="82" t="s">
        <v>321</v>
      </c>
      <c r="H189" s="82"/>
      <c r="I189" s="82"/>
      <c r="J189" s="82"/>
      <c r="K189" s="95">
        <f>100000-30000-13937</f>
        <v>56063</v>
      </c>
    </row>
    <row r="190" spans="1:11" ht="30" customHeight="1">
      <c r="A190" s="14"/>
      <c r="B190" s="54"/>
      <c r="C190" s="78"/>
      <c r="D190" s="78"/>
      <c r="E190" s="93"/>
      <c r="F190" s="78"/>
      <c r="G190" s="82" t="s">
        <v>322</v>
      </c>
      <c r="H190" s="82"/>
      <c r="I190" s="82"/>
      <c r="J190" s="82"/>
      <c r="K190" s="95">
        <f>100000-40000-6127</f>
        <v>53873</v>
      </c>
    </row>
    <row r="191" spans="1:11" ht="48.75" customHeight="1">
      <c r="A191" s="14"/>
      <c r="B191" s="54"/>
      <c r="C191" s="89" t="s">
        <v>208</v>
      </c>
      <c r="D191" s="89" t="s">
        <v>209</v>
      </c>
      <c r="E191" s="90" t="s">
        <v>206</v>
      </c>
      <c r="F191" s="106" t="s">
        <v>383</v>
      </c>
      <c r="G191" s="83" t="s">
        <v>323</v>
      </c>
      <c r="H191" s="82"/>
      <c r="I191" s="82"/>
      <c r="J191" s="82"/>
      <c r="K191" s="86">
        <f>1200000-1100274</f>
        <v>99726</v>
      </c>
    </row>
    <row r="192" spans="1:11" ht="30" customHeight="1">
      <c r="A192" s="14"/>
      <c r="B192" s="54"/>
      <c r="C192" s="78"/>
      <c r="D192" s="78"/>
      <c r="E192" s="93"/>
      <c r="F192" s="78"/>
      <c r="G192" s="82" t="s">
        <v>324</v>
      </c>
      <c r="H192" s="82"/>
      <c r="I192" s="82"/>
      <c r="J192" s="82"/>
      <c r="K192" s="95">
        <f>600000-550137</f>
        <v>49863</v>
      </c>
    </row>
    <row r="193" spans="1:11" ht="30" customHeight="1">
      <c r="A193" s="14"/>
      <c r="B193" s="54"/>
      <c r="C193" s="78"/>
      <c r="D193" s="78"/>
      <c r="E193" s="93"/>
      <c r="F193" s="78"/>
      <c r="G193" s="82" t="s">
        <v>325</v>
      </c>
      <c r="H193" s="82"/>
      <c r="I193" s="82"/>
      <c r="J193" s="82"/>
      <c r="K193" s="95">
        <f>600000-550137</f>
        <v>49863</v>
      </c>
    </row>
    <row r="194" spans="1:11" ht="70.5" customHeight="1">
      <c r="A194" s="14"/>
      <c r="B194" s="54"/>
      <c r="C194" s="89" t="s">
        <v>208</v>
      </c>
      <c r="D194" s="89" t="s">
        <v>209</v>
      </c>
      <c r="E194" s="90" t="s">
        <v>206</v>
      </c>
      <c r="F194" s="106" t="s">
        <v>383</v>
      </c>
      <c r="G194" s="83" t="s">
        <v>171</v>
      </c>
      <c r="H194" s="82"/>
      <c r="I194" s="82"/>
      <c r="J194" s="82"/>
      <c r="K194" s="117">
        <v>178200</v>
      </c>
    </row>
    <row r="195" spans="1:11" ht="30" customHeight="1">
      <c r="A195" s="14"/>
      <c r="B195" s="54"/>
      <c r="C195" s="78"/>
      <c r="D195" s="78"/>
      <c r="E195" s="93"/>
      <c r="F195" s="78"/>
      <c r="G195" s="82" t="s">
        <v>172</v>
      </c>
      <c r="H195" s="82"/>
      <c r="I195" s="82"/>
      <c r="J195" s="82"/>
      <c r="K195" s="95">
        <v>40000</v>
      </c>
    </row>
    <row r="196" spans="1:11" ht="30" customHeight="1">
      <c r="A196" s="14"/>
      <c r="B196" s="54"/>
      <c r="C196" s="78"/>
      <c r="D196" s="78"/>
      <c r="E196" s="93"/>
      <c r="F196" s="78"/>
      <c r="G196" s="82" t="s">
        <v>297</v>
      </c>
      <c r="H196" s="82"/>
      <c r="I196" s="82"/>
      <c r="J196" s="82"/>
      <c r="K196" s="95">
        <v>21000</v>
      </c>
    </row>
    <row r="197" spans="1:11" ht="30" customHeight="1">
      <c r="A197" s="14"/>
      <c r="B197" s="54"/>
      <c r="C197" s="78"/>
      <c r="D197" s="78"/>
      <c r="E197" s="93"/>
      <c r="F197" s="78"/>
      <c r="G197" s="82" t="s">
        <v>173</v>
      </c>
      <c r="H197" s="82"/>
      <c r="I197" s="82"/>
      <c r="J197" s="82"/>
      <c r="K197" s="95">
        <v>48100</v>
      </c>
    </row>
    <row r="198" spans="1:11" ht="30" customHeight="1">
      <c r="A198" s="14"/>
      <c r="B198" s="54"/>
      <c r="C198" s="78"/>
      <c r="D198" s="78"/>
      <c r="E198" s="93"/>
      <c r="F198" s="78"/>
      <c r="G198" s="82" t="s">
        <v>174</v>
      </c>
      <c r="H198" s="82"/>
      <c r="I198" s="82"/>
      <c r="J198" s="82"/>
      <c r="K198" s="95">
        <v>21000</v>
      </c>
    </row>
    <row r="199" spans="1:11" ht="30" customHeight="1">
      <c r="A199" s="14"/>
      <c r="B199" s="54"/>
      <c r="C199" s="78"/>
      <c r="D199" s="78"/>
      <c r="E199" s="93"/>
      <c r="F199" s="78"/>
      <c r="G199" s="82" t="s">
        <v>175</v>
      </c>
      <c r="H199" s="82"/>
      <c r="I199" s="82"/>
      <c r="J199" s="82"/>
      <c r="K199" s="95">
        <v>48100</v>
      </c>
    </row>
    <row r="200" spans="1:11" ht="44.25" customHeight="1">
      <c r="A200" s="14"/>
      <c r="B200" s="54"/>
      <c r="C200" s="89" t="s">
        <v>208</v>
      </c>
      <c r="D200" s="89" t="s">
        <v>209</v>
      </c>
      <c r="E200" s="90" t="s">
        <v>206</v>
      </c>
      <c r="F200" s="106" t="s">
        <v>383</v>
      </c>
      <c r="G200" s="83" t="s">
        <v>326</v>
      </c>
      <c r="H200" s="82"/>
      <c r="I200" s="82"/>
      <c r="J200" s="82"/>
      <c r="K200" s="86">
        <f>SUM(K201:K207)</f>
        <v>4656568</v>
      </c>
    </row>
    <row r="201" spans="1:11" ht="30" customHeight="1">
      <c r="A201" s="14"/>
      <c r="B201" s="54"/>
      <c r="C201" s="78"/>
      <c r="D201" s="78"/>
      <c r="E201" s="93"/>
      <c r="F201" s="78"/>
      <c r="G201" s="82" t="s">
        <v>327</v>
      </c>
      <c r="H201" s="82"/>
      <c r="I201" s="82"/>
      <c r="J201" s="82"/>
      <c r="K201" s="116">
        <f>2400000-380000+500000+165960</f>
        <v>2685960</v>
      </c>
    </row>
    <row r="202" spans="1:11" ht="30" customHeight="1">
      <c r="A202" s="14"/>
      <c r="B202" s="54"/>
      <c r="C202" s="78"/>
      <c r="D202" s="78"/>
      <c r="E202" s="93"/>
      <c r="F202" s="78"/>
      <c r="G202" s="82" t="s">
        <v>328</v>
      </c>
      <c r="H202" s="82"/>
      <c r="I202" s="82"/>
      <c r="J202" s="82"/>
      <c r="K202" s="95">
        <f>450000+500000-149000-686000-1120</f>
        <v>113880</v>
      </c>
    </row>
    <row r="203" spans="1:11" ht="30" customHeight="1">
      <c r="A203" s="14"/>
      <c r="B203" s="54"/>
      <c r="C203" s="78"/>
      <c r="D203" s="78"/>
      <c r="E203" s="93"/>
      <c r="F203" s="78"/>
      <c r="G203" s="82" t="s">
        <v>329</v>
      </c>
      <c r="H203" s="82"/>
      <c r="I203" s="82"/>
      <c r="J203" s="82"/>
      <c r="K203" s="95">
        <f>200000-97410</f>
        <v>102590</v>
      </c>
    </row>
    <row r="204" spans="1:11" ht="30" customHeight="1">
      <c r="A204" s="14"/>
      <c r="B204" s="54"/>
      <c r="C204" s="78"/>
      <c r="D204" s="78"/>
      <c r="E204" s="93"/>
      <c r="F204" s="78"/>
      <c r="G204" s="82" t="s">
        <v>330</v>
      </c>
      <c r="H204" s="82"/>
      <c r="I204" s="82"/>
      <c r="J204" s="82"/>
      <c r="K204" s="95">
        <v>200000</v>
      </c>
    </row>
    <row r="205" spans="1:11" ht="30" customHeight="1">
      <c r="A205" s="14"/>
      <c r="B205" s="54"/>
      <c r="C205" s="78"/>
      <c r="D205" s="78"/>
      <c r="E205" s="93"/>
      <c r="F205" s="78"/>
      <c r="G205" s="82" t="s">
        <v>298</v>
      </c>
      <c r="H205" s="82"/>
      <c r="I205" s="82"/>
      <c r="J205" s="82"/>
      <c r="K205" s="95">
        <f>200000-100000-56535</f>
        <v>43465</v>
      </c>
    </row>
    <row r="206" spans="1:11" ht="30" customHeight="1">
      <c r="A206" s="14"/>
      <c r="B206" s="54"/>
      <c r="C206" s="78"/>
      <c r="D206" s="78"/>
      <c r="E206" s="93"/>
      <c r="F206" s="78"/>
      <c r="G206" s="82" t="s">
        <v>331</v>
      </c>
      <c r="H206" s="82"/>
      <c r="I206" s="82"/>
      <c r="J206" s="82"/>
      <c r="K206" s="95">
        <f>200000+1000000+150000+149000-36771</f>
        <v>1462229</v>
      </c>
    </row>
    <row r="207" spans="1:11" ht="30" customHeight="1">
      <c r="A207" s="14"/>
      <c r="B207" s="54"/>
      <c r="C207" s="78"/>
      <c r="D207" s="78"/>
      <c r="E207" s="93"/>
      <c r="F207" s="78"/>
      <c r="G207" s="82" t="s">
        <v>302</v>
      </c>
      <c r="H207" s="82"/>
      <c r="I207" s="82"/>
      <c r="J207" s="82"/>
      <c r="K207" s="95">
        <f>200000-100000-51556</f>
        <v>48444</v>
      </c>
    </row>
    <row r="208" spans="1:11" ht="46.5" customHeight="1">
      <c r="A208" s="14"/>
      <c r="B208" s="54"/>
      <c r="C208" s="89" t="s">
        <v>208</v>
      </c>
      <c r="D208" s="89" t="s">
        <v>209</v>
      </c>
      <c r="E208" s="90" t="s">
        <v>206</v>
      </c>
      <c r="F208" s="106" t="s">
        <v>383</v>
      </c>
      <c r="G208" s="82" t="s">
        <v>332</v>
      </c>
      <c r="H208" s="82"/>
      <c r="I208" s="82"/>
      <c r="J208" s="82"/>
      <c r="K208" s="95">
        <f>100000-8900</f>
        <v>91100</v>
      </c>
    </row>
    <row r="209" spans="1:11" ht="50.25" customHeight="1">
      <c r="A209" s="14"/>
      <c r="B209" s="54"/>
      <c r="C209" s="89" t="s">
        <v>208</v>
      </c>
      <c r="D209" s="89" t="s">
        <v>209</v>
      </c>
      <c r="E209" s="90" t="s">
        <v>206</v>
      </c>
      <c r="F209" s="106" t="s">
        <v>383</v>
      </c>
      <c r="G209" s="82" t="s">
        <v>333</v>
      </c>
      <c r="H209" s="82"/>
      <c r="I209" s="82"/>
      <c r="J209" s="82"/>
      <c r="K209" s="86">
        <f>1300000-22660</f>
        <v>1277340</v>
      </c>
    </row>
    <row r="210" spans="1:11" ht="30" customHeight="1">
      <c r="A210" s="14"/>
      <c r="B210" s="54"/>
      <c r="C210" s="78"/>
      <c r="D210" s="78"/>
      <c r="E210" s="93"/>
      <c r="F210" s="78"/>
      <c r="G210" s="82" t="s">
        <v>334</v>
      </c>
      <c r="H210" s="82"/>
      <c r="I210" s="82"/>
      <c r="J210" s="82"/>
      <c r="K210" s="95">
        <f>400000-20000</f>
        <v>380000</v>
      </c>
    </row>
    <row r="211" spans="1:11" ht="30" customHeight="1">
      <c r="A211" s="14"/>
      <c r="B211" s="54"/>
      <c r="C211" s="78"/>
      <c r="D211" s="78"/>
      <c r="E211" s="93"/>
      <c r="F211" s="78"/>
      <c r="G211" s="82" t="s">
        <v>318</v>
      </c>
      <c r="H211" s="82"/>
      <c r="I211" s="82"/>
      <c r="J211" s="82"/>
      <c r="K211" s="95">
        <f>100000-200</f>
        <v>99800</v>
      </c>
    </row>
    <row r="212" spans="1:11" ht="30" customHeight="1">
      <c r="A212" s="14"/>
      <c r="B212" s="54"/>
      <c r="C212" s="78"/>
      <c r="D212" s="78"/>
      <c r="E212" s="93"/>
      <c r="F212" s="78"/>
      <c r="G212" s="82" t="s">
        <v>423</v>
      </c>
      <c r="H212" s="82"/>
      <c r="I212" s="82"/>
      <c r="J212" s="82"/>
      <c r="K212" s="95">
        <f>100000-200</f>
        <v>99800</v>
      </c>
    </row>
    <row r="213" spans="1:11" ht="30" customHeight="1">
      <c r="A213" s="14"/>
      <c r="B213" s="54"/>
      <c r="C213" s="78"/>
      <c r="D213" s="78"/>
      <c r="E213" s="93"/>
      <c r="F213" s="78"/>
      <c r="G213" s="82" t="s">
        <v>424</v>
      </c>
      <c r="H213" s="82"/>
      <c r="I213" s="82"/>
      <c r="J213" s="82"/>
      <c r="K213" s="95">
        <f>100000-200</f>
        <v>99800</v>
      </c>
    </row>
    <row r="214" spans="1:11" ht="30" customHeight="1">
      <c r="A214" s="14"/>
      <c r="B214" s="54"/>
      <c r="C214" s="78"/>
      <c r="D214" s="78"/>
      <c r="E214" s="93"/>
      <c r="F214" s="78"/>
      <c r="G214" s="82" t="s">
        <v>425</v>
      </c>
      <c r="H214" s="82"/>
      <c r="I214" s="82"/>
      <c r="J214" s="82"/>
      <c r="K214" s="95">
        <f>100000-700</f>
        <v>99300</v>
      </c>
    </row>
    <row r="215" spans="1:11" ht="30" customHeight="1">
      <c r="A215" s="14"/>
      <c r="B215" s="54"/>
      <c r="C215" s="78"/>
      <c r="D215" s="78"/>
      <c r="E215" s="93"/>
      <c r="F215" s="78"/>
      <c r="G215" s="82" t="s">
        <v>426</v>
      </c>
      <c r="H215" s="82"/>
      <c r="I215" s="82"/>
      <c r="J215" s="82"/>
      <c r="K215" s="95">
        <f>100000-70</f>
        <v>99930</v>
      </c>
    </row>
    <row r="216" spans="1:11" ht="30" customHeight="1">
      <c r="A216" s="14"/>
      <c r="B216" s="54"/>
      <c r="C216" s="78"/>
      <c r="D216" s="78"/>
      <c r="E216" s="93"/>
      <c r="F216" s="78"/>
      <c r="G216" s="82" t="s">
        <v>427</v>
      </c>
      <c r="H216" s="82"/>
      <c r="I216" s="82"/>
      <c r="J216" s="82"/>
      <c r="K216" s="95">
        <f>100000-450</f>
        <v>99550</v>
      </c>
    </row>
    <row r="217" spans="1:11" ht="30" customHeight="1">
      <c r="A217" s="14"/>
      <c r="B217" s="54"/>
      <c r="C217" s="78"/>
      <c r="D217" s="78"/>
      <c r="E217" s="93"/>
      <c r="F217" s="78"/>
      <c r="G217" s="82" t="s">
        <v>428</v>
      </c>
      <c r="H217" s="82"/>
      <c r="I217" s="82"/>
      <c r="J217" s="82"/>
      <c r="K217" s="95">
        <f>100000-440</f>
        <v>99560</v>
      </c>
    </row>
    <row r="218" spans="1:11" ht="30" customHeight="1">
      <c r="A218" s="14"/>
      <c r="B218" s="54"/>
      <c r="C218" s="78"/>
      <c r="D218" s="78"/>
      <c r="E218" s="93"/>
      <c r="F218" s="78"/>
      <c r="G218" s="82" t="s">
        <v>429</v>
      </c>
      <c r="H218" s="82"/>
      <c r="I218" s="82"/>
      <c r="J218" s="82"/>
      <c r="K218" s="95">
        <f>100000-200</f>
        <v>99800</v>
      </c>
    </row>
    <row r="219" spans="1:11" ht="30" customHeight="1">
      <c r="A219" s="14"/>
      <c r="B219" s="54"/>
      <c r="C219" s="78"/>
      <c r="D219" s="78"/>
      <c r="E219" s="93"/>
      <c r="F219" s="78"/>
      <c r="G219" s="82" t="s">
        <v>430</v>
      </c>
      <c r="H219" s="82"/>
      <c r="I219" s="82"/>
      <c r="J219" s="82"/>
      <c r="K219" s="95">
        <f>100000-200</f>
        <v>99800</v>
      </c>
    </row>
    <row r="220" spans="1:11" ht="48" customHeight="1">
      <c r="A220" s="14"/>
      <c r="B220" s="54"/>
      <c r="C220" s="89" t="s">
        <v>208</v>
      </c>
      <c r="D220" s="89" t="s">
        <v>209</v>
      </c>
      <c r="E220" s="90" t="s">
        <v>206</v>
      </c>
      <c r="F220" s="106" t="s">
        <v>383</v>
      </c>
      <c r="G220" s="83" t="s">
        <v>335</v>
      </c>
      <c r="H220" s="82"/>
      <c r="I220" s="82"/>
      <c r="J220" s="82"/>
      <c r="K220" s="86">
        <f>350000-50271</f>
        <v>299729</v>
      </c>
    </row>
    <row r="221" spans="1:11" ht="30" customHeight="1">
      <c r="A221" s="14"/>
      <c r="B221" s="54"/>
      <c r="C221" s="78"/>
      <c r="D221" s="78"/>
      <c r="E221" s="93"/>
      <c r="F221" s="78"/>
      <c r="G221" s="82" t="s">
        <v>336</v>
      </c>
      <c r="H221" s="82"/>
      <c r="I221" s="82"/>
      <c r="J221" s="82"/>
      <c r="K221" s="95">
        <f>100000-271</f>
        <v>99729</v>
      </c>
    </row>
    <row r="222" spans="1:11" ht="30" customHeight="1">
      <c r="A222" s="14"/>
      <c r="B222" s="54"/>
      <c r="C222" s="78"/>
      <c r="D222" s="78"/>
      <c r="E222" s="93"/>
      <c r="F222" s="78"/>
      <c r="G222" s="82" t="s">
        <v>337</v>
      </c>
      <c r="H222" s="82"/>
      <c r="I222" s="82"/>
      <c r="J222" s="82"/>
      <c r="K222" s="95">
        <v>200000</v>
      </c>
    </row>
    <row r="223" spans="2:11" ht="93">
      <c r="B223" s="28"/>
      <c r="C223" s="20" t="s">
        <v>208</v>
      </c>
      <c r="D223" s="58" t="s">
        <v>209</v>
      </c>
      <c r="E223" s="58" t="s">
        <v>206</v>
      </c>
      <c r="F223" s="106" t="s">
        <v>383</v>
      </c>
      <c r="G223" s="19" t="s">
        <v>248</v>
      </c>
      <c r="H223" s="21"/>
      <c r="I223" s="18"/>
      <c r="J223" s="18"/>
      <c r="K223" s="96">
        <f>3380000-144318</f>
        <v>3235682</v>
      </c>
    </row>
    <row r="224" spans="2:11" ht="46.5">
      <c r="B224" s="28"/>
      <c r="C224" s="152" t="s">
        <v>210</v>
      </c>
      <c r="D224" s="153" t="s">
        <v>211</v>
      </c>
      <c r="E224" s="153" t="s">
        <v>212</v>
      </c>
      <c r="F224" s="106" t="s">
        <v>387</v>
      </c>
      <c r="G224" s="19" t="s">
        <v>123</v>
      </c>
      <c r="H224" s="23"/>
      <c r="I224" s="24"/>
      <c r="J224" s="24"/>
      <c r="K224" s="96">
        <f>80000+12400</f>
        <v>92400</v>
      </c>
    </row>
    <row r="225" spans="2:11" ht="93">
      <c r="B225" s="28"/>
      <c r="C225" s="152" t="s">
        <v>208</v>
      </c>
      <c r="D225" s="153" t="s">
        <v>209</v>
      </c>
      <c r="E225" s="153" t="s">
        <v>206</v>
      </c>
      <c r="F225" s="106" t="s">
        <v>383</v>
      </c>
      <c r="G225" s="19" t="s">
        <v>91</v>
      </c>
      <c r="H225" s="23"/>
      <c r="I225" s="24"/>
      <c r="J225" s="24"/>
      <c r="K225" s="96">
        <v>120000</v>
      </c>
    </row>
    <row r="226" spans="2:11" ht="69.75">
      <c r="B226" s="28"/>
      <c r="C226" s="20" t="s">
        <v>432</v>
      </c>
      <c r="D226" s="58" t="s">
        <v>433</v>
      </c>
      <c r="E226" s="58" t="s">
        <v>434</v>
      </c>
      <c r="F226" s="106" t="s">
        <v>435</v>
      </c>
      <c r="G226" s="25" t="s">
        <v>436</v>
      </c>
      <c r="H226" s="21"/>
      <c r="I226" s="18"/>
      <c r="J226" s="18"/>
      <c r="K226" s="96">
        <v>1100000</v>
      </c>
    </row>
    <row r="227" spans="2:11" ht="69.75">
      <c r="B227" s="28"/>
      <c r="C227" s="20" t="s">
        <v>25</v>
      </c>
      <c r="D227" s="58" t="s">
        <v>355</v>
      </c>
      <c r="E227" s="58" t="s">
        <v>356</v>
      </c>
      <c r="F227" s="106" t="s">
        <v>26</v>
      </c>
      <c r="G227" s="25" t="s">
        <v>176</v>
      </c>
      <c r="H227" s="21"/>
      <c r="I227" s="18"/>
      <c r="J227" s="18"/>
      <c r="K227" s="96">
        <v>70000</v>
      </c>
    </row>
    <row r="228" spans="2:11" ht="23.25">
      <c r="B228" s="28"/>
      <c r="C228" s="20" t="s">
        <v>25</v>
      </c>
      <c r="D228" s="58" t="s">
        <v>355</v>
      </c>
      <c r="E228" s="58" t="s">
        <v>356</v>
      </c>
      <c r="F228" s="106" t="s">
        <v>26</v>
      </c>
      <c r="G228" s="87" t="s">
        <v>441</v>
      </c>
      <c r="H228" s="21"/>
      <c r="I228" s="18"/>
      <c r="J228" s="18"/>
      <c r="K228" s="96">
        <v>349200</v>
      </c>
    </row>
    <row r="229" spans="2:11" ht="43.5" customHeight="1">
      <c r="B229" s="28"/>
      <c r="C229" s="68" t="s">
        <v>235</v>
      </c>
      <c r="D229" s="20"/>
      <c r="E229" s="20"/>
      <c r="F229" s="68" t="s">
        <v>198</v>
      </c>
      <c r="G229" s="25"/>
      <c r="H229" s="23"/>
      <c r="I229" s="24"/>
      <c r="J229" s="24"/>
      <c r="K229" s="97">
        <f>SUM(K230:K239)</f>
        <v>32628300</v>
      </c>
    </row>
    <row r="230" spans="2:11" ht="46.5">
      <c r="B230" s="28"/>
      <c r="C230" s="20" t="s">
        <v>213</v>
      </c>
      <c r="D230" s="20" t="s">
        <v>214</v>
      </c>
      <c r="E230" s="20" t="s">
        <v>215</v>
      </c>
      <c r="F230" s="110" t="s">
        <v>388</v>
      </c>
      <c r="G230" s="22" t="s">
        <v>199</v>
      </c>
      <c r="H230" s="23"/>
      <c r="I230" s="24"/>
      <c r="J230" s="24"/>
      <c r="K230" s="96">
        <f>2600000-350000-250000-1600000</f>
        <v>400000</v>
      </c>
    </row>
    <row r="231" spans="2:11" ht="75" customHeight="1">
      <c r="B231" s="28"/>
      <c r="C231" s="20" t="s">
        <v>216</v>
      </c>
      <c r="D231" s="20" t="s">
        <v>205</v>
      </c>
      <c r="E231" s="20" t="s">
        <v>206</v>
      </c>
      <c r="F231" s="110" t="s">
        <v>389</v>
      </c>
      <c r="G231" s="71" t="s">
        <v>236</v>
      </c>
      <c r="H231" s="57"/>
      <c r="I231" s="24"/>
      <c r="J231" s="24"/>
      <c r="K231" s="96">
        <f>3190000-117000+350000-370000</f>
        <v>3053000</v>
      </c>
    </row>
    <row r="232" spans="2:11" ht="120" customHeight="1">
      <c r="B232" s="28"/>
      <c r="C232" s="20" t="s">
        <v>216</v>
      </c>
      <c r="D232" s="20" t="s">
        <v>205</v>
      </c>
      <c r="E232" s="20" t="s">
        <v>206</v>
      </c>
      <c r="F232" s="110" t="s">
        <v>389</v>
      </c>
      <c r="G232" s="71" t="s">
        <v>177</v>
      </c>
      <c r="H232" s="57"/>
      <c r="I232" s="24"/>
      <c r="J232" s="24"/>
      <c r="K232" s="96">
        <f>500000+195000+66600</f>
        <v>761600</v>
      </c>
    </row>
    <row r="233" spans="2:11" ht="72" customHeight="1">
      <c r="B233" s="28"/>
      <c r="C233" s="20" t="s">
        <v>213</v>
      </c>
      <c r="D233" s="20" t="s">
        <v>214</v>
      </c>
      <c r="E233" s="20" t="s">
        <v>215</v>
      </c>
      <c r="F233" s="110" t="s">
        <v>388</v>
      </c>
      <c r="G233" s="19" t="s">
        <v>239</v>
      </c>
      <c r="H233" s="57"/>
      <c r="I233" s="24"/>
      <c r="J233" s="24"/>
      <c r="K233" s="96">
        <v>300000</v>
      </c>
    </row>
    <row r="234" spans="2:11" ht="72" customHeight="1">
      <c r="B234" s="28"/>
      <c r="C234" s="20" t="s">
        <v>542</v>
      </c>
      <c r="D234" s="20" t="s">
        <v>543</v>
      </c>
      <c r="E234" s="20" t="s">
        <v>544</v>
      </c>
      <c r="F234" s="110" t="s">
        <v>545</v>
      </c>
      <c r="G234" s="19" t="s">
        <v>546</v>
      </c>
      <c r="H234" s="57"/>
      <c r="I234" s="24"/>
      <c r="J234" s="24"/>
      <c r="K234" s="96">
        <v>303700</v>
      </c>
    </row>
    <row r="235" spans="2:11" ht="135" customHeight="1">
      <c r="B235" s="28"/>
      <c r="C235" s="20" t="s">
        <v>354</v>
      </c>
      <c r="D235" s="20" t="s">
        <v>355</v>
      </c>
      <c r="E235" s="20" t="s">
        <v>356</v>
      </c>
      <c r="F235" s="110" t="s">
        <v>390</v>
      </c>
      <c r="G235" s="19" t="s">
        <v>138</v>
      </c>
      <c r="H235" s="57"/>
      <c r="I235" s="24"/>
      <c r="J235" s="24"/>
      <c r="K235" s="96">
        <v>24000000</v>
      </c>
    </row>
    <row r="236" spans="2:11" ht="51" customHeight="1">
      <c r="B236" s="28"/>
      <c r="C236" s="20" t="s">
        <v>354</v>
      </c>
      <c r="D236" s="20" t="s">
        <v>355</v>
      </c>
      <c r="E236" s="20" t="s">
        <v>356</v>
      </c>
      <c r="F236" s="110" t="s">
        <v>390</v>
      </c>
      <c r="G236" s="19" t="s">
        <v>338</v>
      </c>
      <c r="H236" s="57"/>
      <c r="I236" s="24"/>
      <c r="J236" s="24"/>
      <c r="K236" s="96">
        <f>1000000+600000</f>
        <v>1600000</v>
      </c>
    </row>
    <row r="237" spans="2:11" ht="47.25" customHeight="1">
      <c r="B237" s="28"/>
      <c r="C237" s="20" t="s">
        <v>354</v>
      </c>
      <c r="D237" s="20" t="s">
        <v>355</v>
      </c>
      <c r="E237" s="20" t="s">
        <v>356</v>
      </c>
      <c r="F237" s="110" t="s">
        <v>390</v>
      </c>
      <c r="G237" s="19" t="s">
        <v>339</v>
      </c>
      <c r="H237" s="57"/>
      <c r="I237" s="24"/>
      <c r="J237" s="24"/>
      <c r="K237" s="96">
        <f>800000+60000</f>
        <v>860000</v>
      </c>
    </row>
    <row r="238" spans="2:11" ht="47.25" customHeight="1">
      <c r="B238" s="28"/>
      <c r="C238" s="20" t="s">
        <v>73</v>
      </c>
      <c r="D238" s="58" t="s">
        <v>433</v>
      </c>
      <c r="E238" s="58" t="s">
        <v>434</v>
      </c>
      <c r="F238" s="106" t="s">
        <v>435</v>
      </c>
      <c r="G238" s="25" t="s">
        <v>437</v>
      </c>
      <c r="H238" s="57"/>
      <c r="I238" s="24"/>
      <c r="J238" s="24"/>
      <c r="K238" s="96">
        <v>50000</v>
      </c>
    </row>
    <row r="239" spans="2:11" ht="50.25" customHeight="1">
      <c r="B239" s="28"/>
      <c r="C239" s="20" t="s">
        <v>73</v>
      </c>
      <c r="D239" s="58" t="s">
        <v>433</v>
      </c>
      <c r="E239" s="58" t="s">
        <v>434</v>
      </c>
      <c r="F239" s="106" t="s">
        <v>435</v>
      </c>
      <c r="G239" s="25" t="s">
        <v>438</v>
      </c>
      <c r="H239" s="57"/>
      <c r="I239" s="24"/>
      <c r="J239" s="24"/>
      <c r="K239" s="96">
        <v>1300000</v>
      </c>
    </row>
    <row r="240" spans="2:11" ht="40.5" customHeight="1">
      <c r="B240" s="28"/>
      <c r="C240" s="68" t="s">
        <v>397</v>
      </c>
      <c r="D240" s="58"/>
      <c r="E240" s="58"/>
      <c r="F240" s="68" t="s">
        <v>197</v>
      </c>
      <c r="G240" s="25"/>
      <c r="H240" s="57"/>
      <c r="I240" s="24"/>
      <c r="J240" s="24"/>
      <c r="K240" s="97">
        <f>20000+120000+61000+15000+59299+125998+59168+50000+23075</f>
        <v>533540</v>
      </c>
    </row>
    <row r="241" spans="2:11" ht="48" customHeight="1">
      <c r="B241" s="28"/>
      <c r="C241" s="20" t="s">
        <v>443</v>
      </c>
      <c r="D241" s="58" t="s">
        <v>355</v>
      </c>
      <c r="E241" s="58" t="s">
        <v>444</v>
      </c>
      <c r="F241" s="110" t="s">
        <v>445</v>
      </c>
      <c r="G241" s="25" t="s">
        <v>441</v>
      </c>
      <c r="H241" s="57"/>
      <c r="I241" s="24"/>
      <c r="J241" s="24"/>
      <c r="K241" s="96">
        <v>20000</v>
      </c>
    </row>
    <row r="242" spans="2:11" ht="48" customHeight="1">
      <c r="B242" s="28"/>
      <c r="C242" s="20" t="s">
        <v>142</v>
      </c>
      <c r="D242" s="58" t="s">
        <v>362</v>
      </c>
      <c r="E242" s="58" t="s">
        <v>363</v>
      </c>
      <c r="F242" s="110" t="s">
        <v>366</v>
      </c>
      <c r="G242" s="25" t="s">
        <v>141</v>
      </c>
      <c r="H242" s="57"/>
      <c r="I242" s="24"/>
      <c r="J242" s="24"/>
      <c r="K242" s="96">
        <f>24000+59299</f>
        <v>83299</v>
      </c>
    </row>
    <row r="243" spans="2:11" ht="98.25" customHeight="1">
      <c r="B243" s="28"/>
      <c r="C243" s="20" t="s">
        <v>230</v>
      </c>
      <c r="D243" s="58" t="s">
        <v>223</v>
      </c>
      <c r="E243" s="20" t="s">
        <v>224</v>
      </c>
      <c r="F243" s="106" t="s">
        <v>367</v>
      </c>
      <c r="G243" s="87" t="s">
        <v>141</v>
      </c>
      <c r="H243" s="57"/>
      <c r="I243" s="24"/>
      <c r="J243" s="24"/>
      <c r="K243" s="96">
        <f>15000+50000</f>
        <v>65000</v>
      </c>
    </row>
    <row r="244" spans="2:11" ht="80.25" customHeight="1">
      <c r="B244" s="28"/>
      <c r="C244" s="20" t="s">
        <v>541</v>
      </c>
      <c r="D244" s="58" t="s">
        <v>406</v>
      </c>
      <c r="E244" s="58"/>
      <c r="F244" s="106" t="s">
        <v>408</v>
      </c>
      <c r="G244" s="87" t="s">
        <v>141</v>
      </c>
      <c r="H244" s="57"/>
      <c r="I244" s="24"/>
      <c r="J244" s="24"/>
      <c r="K244" s="96">
        <v>23075</v>
      </c>
    </row>
    <row r="245" spans="2:11" ht="62.25" customHeight="1">
      <c r="B245" s="28"/>
      <c r="C245" s="20" t="s">
        <v>510</v>
      </c>
      <c r="D245" s="58" t="s">
        <v>511</v>
      </c>
      <c r="E245" s="58" t="s">
        <v>18</v>
      </c>
      <c r="F245" s="106" t="s">
        <v>512</v>
      </c>
      <c r="G245" s="71" t="s">
        <v>236</v>
      </c>
      <c r="H245" s="57"/>
      <c r="I245" s="24"/>
      <c r="J245" s="24"/>
      <c r="K245" s="96">
        <v>125998</v>
      </c>
    </row>
    <row r="246" spans="2:11" ht="51" customHeight="1">
      <c r="B246" s="28"/>
      <c r="C246" s="20" t="s">
        <v>36</v>
      </c>
      <c r="D246" s="58" t="s">
        <v>365</v>
      </c>
      <c r="E246" s="58" t="s">
        <v>353</v>
      </c>
      <c r="F246" s="106" t="s">
        <v>371</v>
      </c>
      <c r="G246" s="25" t="s">
        <v>141</v>
      </c>
      <c r="H246" s="57"/>
      <c r="I246" s="24"/>
      <c r="J246" s="24"/>
      <c r="K246" s="96">
        <f>120000+37000+59168</f>
        <v>216168</v>
      </c>
    </row>
    <row r="247" spans="2:11" ht="38.25" customHeight="1">
      <c r="B247" s="28"/>
      <c r="C247" s="68" t="s">
        <v>446</v>
      </c>
      <c r="D247" s="58"/>
      <c r="E247" s="58"/>
      <c r="F247" s="68" t="s">
        <v>447</v>
      </c>
      <c r="G247" s="25"/>
      <c r="H247" s="57"/>
      <c r="I247" s="24"/>
      <c r="J247" s="24"/>
      <c r="K247" s="97">
        <f>SUM(K248:K252)</f>
        <v>796000</v>
      </c>
    </row>
    <row r="248" spans="2:11" ht="30.75" customHeight="1">
      <c r="B248" s="28"/>
      <c r="C248" s="20" t="s">
        <v>448</v>
      </c>
      <c r="D248" s="58" t="s">
        <v>449</v>
      </c>
      <c r="E248" s="58" t="s">
        <v>450</v>
      </c>
      <c r="F248" s="106" t="s">
        <v>451</v>
      </c>
      <c r="G248" s="87" t="s">
        <v>441</v>
      </c>
      <c r="H248" s="57"/>
      <c r="I248" s="24"/>
      <c r="J248" s="24"/>
      <c r="K248" s="96">
        <v>20000</v>
      </c>
    </row>
    <row r="249" spans="2:11" ht="69" customHeight="1">
      <c r="B249" s="28"/>
      <c r="C249" s="20" t="s">
        <v>461</v>
      </c>
      <c r="D249" s="58" t="s">
        <v>462</v>
      </c>
      <c r="E249" s="58" t="s">
        <v>463</v>
      </c>
      <c r="F249" s="106" t="s">
        <v>464</v>
      </c>
      <c r="G249" s="87" t="s">
        <v>471</v>
      </c>
      <c r="H249" s="57"/>
      <c r="I249" s="24"/>
      <c r="J249" s="24"/>
      <c r="K249" s="96">
        <v>120000</v>
      </c>
    </row>
    <row r="250" spans="2:11" ht="69" customHeight="1">
      <c r="B250" s="28"/>
      <c r="C250" s="20" t="s">
        <v>92</v>
      </c>
      <c r="D250" s="58" t="s">
        <v>346</v>
      </c>
      <c r="E250" s="58" t="s">
        <v>347</v>
      </c>
      <c r="F250" s="106" t="s">
        <v>373</v>
      </c>
      <c r="G250" s="87" t="s">
        <v>93</v>
      </c>
      <c r="H250" s="57"/>
      <c r="I250" s="24"/>
      <c r="J250" s="24"/>
      <c r="K250" s="96">
        <v>300000</v>
      </c>
    </row>
    <row r="251" spans="2:11" ht="69" customHeight="1">
      <c r="B251" s="28"/>
      <c r="C251" s="20" t="s">
        <v>92</v>
      </c>
      <c r="D251" s="58" t="s">
        <v>346</v>
      </c>
      <c r="E251" s="58" t="s">
        <v>347</v>
      </c>
      <c r="F251" s="106" t="s">
        <v>373</v>
      </c>
      <c r="G251" s="87" t="s">
        <v>94</v>
      </c>
      <c r="H251" s="57"/>
      <c r="I251" s="24"/>
      <c r="J251" s="24"/>
      <c r="K251" s="96">
        <v>336000</v>
      </c>
    </row>
    <row r="252" spans="2:11" ht="78" customHeight="1">
      <c r="B252" s="28"/>
      <c r="C252" s="20" t="s">
        <v>452</v>
      </c>
      <c r="D252" s="58" t="s">
        <v>453</v>
      </c>
      <c r="E252" s="58" t="s">
        <v>454</v>
      </c>
      <c r="F252" s="106" t="s">
        <v>455</v>
      </c>
      <c r="G252" s="87" t="s">
        <v>441</v>
      </c>
      <c r="H252" s="57"/>
      <c r="I252" s="24"/>
      <c r="J252" s="24"/>
      <c r="K252" s="96">
        <v>20000</v>
      </c>
    </row>
    <row r="253" spans="2:11" ht="44.25" customHeight="1">
      <c r="B253" s="28"/>
      <c r="C253" s="68" t="s">
        <v>32</v>
      </c>
      <c r="D253" s="58"/>
      <c r="E253" s="58"/>
      <c r="F253" s="68" t="s">
        <v>31</v>
      </c>
      <c r="G253" s="87"/>
      <c r="H253" s="57"/>
      <c r="I253" s="24"/>
      <c r="J253" s="24"/>
      <c r="K253" s="97">
        <f>100000+100000</f>
        <v>200000</v>
      </c>
    </row>
    <row r="254" spans="2:11" ht="54.75" customHeight="1">
      <c r="B254" s="28"/>
      <c r="C254" s="20" t="s">
        <v>33</v>
      </c>
      <c r="D254" s="58" t="s">
        <v>365</v>
      </c>
      <c r="E254" s="58" t="s">
        <v>353</v>
      </c>
      <c r="F254" s="106" t="s">
        <v>371</v>
      </c>
      <c r="G254" s="87" t="s">
        <v>34</v>
      </c>
      <c r="H254" s="57"/>
      <c r="I254" s="24"/>
      <c r="J254" s="24"/>
      <c r="K254" s="96">
        <f>100000+100000</f>
        <v>200000</v>
      </c>
    </row>
    <row r="255" spans="2:11" ht="39.75" customHeight="1">
      <c r="B255" s="28"/>
      <c r="C255" s="68" t="s">
        <v>234</v>
      </c>
      <c r="D255" s="20"/>
      <c r="E255" s="20"/>
      <c r="F255" s="68" t="s">
        <v>200</v>
      </c>
      <c r="G255" s="69"/>
      <c r="H255" s="18"/>
      <c r="I255" s="18"/>
      <c r="J255" s="18"/>
      <c r="K255" s="97">
        <f>140000+50000+56000+90000+20000</f>
        <v>356000</v>
      </c>
    </row>
    <row r="256" spans="2:11" ht="47.25" customHeight="1">
      <c r="B256" s="28"/>
      <c r="C256" s="20" t="s">
        <v>439</v>
      </c>
      <c r="D256" s="20" t="s">
        <v>355</v>
      </c>
      <c r="E256" s="20" t="s">
        <v>356</v>
      </c>
      <c r="F256" s="110" t="s">
        <v>440</v>
      </c>
      <c r="G256" s="70" t="s">
        <v>442</v>
      </c>
      <c r="H256" s="18"/>
      <c r="I256" s="18"/>
      <c r="J256" s="18"/>
      <c r="K256" s="96">
        <f>50000+90000+20000</f>
        <v>160000</v>
      </c>
    </row>
    <row r="257" spans="2:11" ht="44.25" customHeight="1">
      <c r="B257" s="28"/>
      <c r="C257" s="20" t="s">
        <v>439</v>
      </c>
      <c r="D257" s="20" t="s">
        <v>355</v>
      </c>
      <c r="E257" s="20" t="s">
        <v>356</v>
      </c>
      <c r="F257" s="110" t="s">
        <v>440</v>
      </c>
      <c r="G257" s="87" t="s">
        <v>441</v>
      </c>
      <c r="H257" s="18"/>
      <c r="I257" s="18"/>
      <c r="J257" s="18"/>
      <c r="K257" s="96">
        <v>56000</v>
      </c>
    </row>
    <row r="258" spans="2:11" ht="95.25" customHeight="1">
      <c r="B258" s="28"/>
      <c r="C258" s="20" t="s">
        <v>217</v>
      </c>
      <c r="D258" s="20" t="s">
        <v>205</v>
      </c>
      <c r="E258" s="20" t="s">
        <v>206</v>
      </c>
      <c r="F258" s="110" t="s">
        <v>389</v>
      </c>
      <c r="G258" s="70" t="s">
        <v>207</v>
      </c>
      <c r="H258" s="18"/>
      <c r="I258" s="18"/>
      <c r="J258" s="18"/>
      <c r="K258" s="96">
        <v>140000</v>
      </c>
    </row>
    <row r="259" spans="2:11" ht="53.25" customHeight="1">
      <c r="B259" s="28"/>
      <c r="C259" s="68" t="s">
        <v>233</v>
      </c>
      <c r="D259" s="20"/>
      <c r="E259" s="20"/>
      <c r="F259" s="68" t="s">
        <v>201</v>
      </c>
      <c r="G259" s="19"/>
      <c r="H259" s="18"/>
      <c r="I259" s="18"/>
      <c r="J259" s="18"/>
      <c r="K259" s="97">
        <f>1539100+197600+2004500+216000-812000-300000</f>
        <v>2845200</v>
      </c>
    </row>
    <row r="260" spans="2:11" ht="52.5" customHeight="1">
      <c r="B260" s="28"/>
      <c r="C260" s="68" t="s">
        <v>456</v>
      </c>
      <c r="D260" s="20" t="s">
        <v>355</v>
      </c>
      <c r="E260" s="20" t="s">
        <v>356</v>
      </c>
      <c r="F260" s="110" t="s">
        <v>457</v>
      </c>
      <c r="G260" s="87" t="s">
        <v>441</v>
      </c>
      <c r="H260" s="18"/>
      <c r="I260" s="18"/>
      <c r="J260" s="18"/>
      <c r="K260" s="96">
        <f>197600-62000</f>
        <v>135600</v>
      </c>
    </row>
    <row r="261" spans="2:11" ht="72" customHeight="1">
      <c r="B261" s="28"/>
      <c r="C261" s="20" t="s">
        <v>218</v>
      </c>
      <c r="D261" s="20" t="s">
        <v>219</v>
      </c>
      <c r="E261" s="20" t="s">
        <v>206</v>
      </c>
      <c r="F261" s="110" t="s">
        <v>391</v>
      </c>
      <c r="G261" s="19" t="s">
        <v>202</v>
      </c>
      <c r="H261" s="18"/>
      <c r="I261" s="18"/>
      <c r="J261" s="18"/>
      <c r="K261" s="96">
        <f>1019600+140500+2004500-750000</f>
        <v>2414600</v>
      </c>
    </row>
    <row r="262" spans="2:11" ht="53.25" customHeight="1">
      <c r="B262" s="28"/>
      <c r="C262" s="20" t="s">
        <v>218</v>
      </c>
      <c r="D262" s="20" t="s">
        <v>219</v>
      </c>
      <c r="E262" s="20" t="s">
        <v>206</v>
      </c>
      <c r="F262" s="110" t="s">
        <v>391</v>
      </c>
      <c r="G262" s="19" t="s">
        <v>203</v>
      </c>
      <c r="H262" s="18"/>
      <c r="I262" s="18"/>
      <c r="J262" s="18"/>
      <c r="K262" s="96">
        <f>79000+216000</f>
        <v>295000</v>
      </c>
    </row>
    <row r="263" spans="2:11" ht="47.25" customHeight="1">
      <c r="B263" s="28"/>
      <c r="C263" s="68" t="s">
        <v>232</v>
      </c>
      <c r="D263" s="20"/>
      <c r="E263" s="20"/>
      <c r="F263" s="68" t="s">
        <v>204</v>
      </c>
      <c r="G263" s="19"/>
      <c r="H263" s="18"/>
      <c r="I263" s="18"/>
      <c r="J263" s="18"/>
      <c r="K263" s="97">
        <f>500000+20000+138000-500000+9546</f>
        <v>167546</v>
      </c>
    </row>
    <row r="264" spans="2:11" ht="51" customHeight="1">
      <c r="B264" s="28"/>
      <c r="C264" s="20" t="s">
        <v>27</v>
      </c>
      <c r="D264" s="20" t="s">
        <v>355</v>
      </c>
      <c r="E264" s="20" t="s">
        <v>356</v>
      </c>
      <c r="F264" s="110" t="s">
        <v>28</v>
      </c>
      <c r="G264" s="87" t="s">
        <v>441</v>
      </c>
      <c r="H264" s="18"/>
      <c r="I264" s="18"/>
      <c r="J264" s="18"/>
      <c r="K264" s="96">
        <v>138000</v>
      </c>
    </row>
    <row r="265" spans="2:11" ht="51" customHeight="1">
      <c r="B265" s="28"/>
      <c r="C265" s="20" t="s">
        <v>27</v>
      </c>
      <c r="D265" s="20" t="s">
        <v>355</v>
      </c>
      <c r="E265" s="20" t="s">
        <v>356</v>
      </c>
      <c r="F265" s="110" t="s">
        <v>28</v>
      </c>
      <c r="G265" s="87" t="s">
        <v>98</v>
      </c>
      <c r="H265" s="24"/>
      <c r="I265" s="24"/>
      <c r="J265" s="24"/>
      <c r="K265" s="96">
        <v>9546</v>
      </c>
    </row>
    <row r="266" spans="2:11" ht="54" customHeight="1">
      <c r="B266" s="28"/>
      <c r="C266" s="20" t="s">
        <v>458</v>
      </c>
      <c r="D266" s="20" t="s">
        <v>412</v>
      </c>
      <c r="E266" s="20" t="s">
        <v>362</v>
      </c>
      <c r="F266" s="106" t="s">
        <v>413</v>
      </c>
      <c r="G266" s="87" t="s">
        <v>441</v>
      </c>
      <c r="H266" s="18"/>
      <c r="I266" s="18"/>
      <c r="J266" s="18"/>
      <c r="K266" s="96">
        <v>20000</v>
      </c>
    </row>
    <row r="267" spans="2:11" ht="45.75" customHeight="1">
      <c r="B267" s="28"/>
      <c r="C267" s="184" t="s">
        <v>195</v>
      </c>
      <c r="D267" s="181"/>
      <c r="E267" s="181"/>
      <c r="F267" s="181"/>
      <c r="G267" s="181"/>
      <c r="H267" s="181"/>
      <c r="I267" s="181"/>
      <c r="J267" s="67"/>
      <c r="K267" s="98"/>
    </row>
    <row r="268" spans="2:11" ht="45.75" customHeight="1">
      <c r="B268" s="28"/>
      <c r="C268" s="68" t="s">
        <v>395</v>
      </c>
      <c r="D268" s="111"/>
      <c r="E268" s="111"/>
      <c r="F268" s="112" t="s">
        <v>186</v>
      </c>
      <c r="G268" s="111"/>
      <c r="H268" s="111"/>
      <c r="I268" s="111"/>
      <c r="J268" s="18"/>
      <c r="K268" s="96"/>
    </row>
    <row r="269" spans="2:11" ht="47.25" customHeight="1">
      <c r="B269" s="28"/>
      <c r="C269" s="20" t="s">
        <v>220</v>
      </c>
      <c r="D269" s="20" t="s">
        <v>221</v>
      </c>
      <c r="E269" s="20" t="s">
        <v>206</v>
      </c>
      <c r="F269" s="113" t="s">
        <v>393</v>
      </c>
      <c r="G269" s="19" t="s">
        <v>240</v>
      </c>
      <c r="H269" s="21"/>
      <c r="I269" s="18"/>
      <c r="J269" s="18"/>
      <c r="K269" s="96">
        <f>698775+600225-91246</f>
        <v>1207754</v>
      </c>
    </row>
    <row r="270" spans="2:11" ht="48" customHeight="1">
      <c r="B270" s="28"/>
      <c r="C270" s="20" t="s">
        <v>220</v>
      </c>
      <c r="D270" s="20" t="s">
        <v>221</v>
      </c>
      <c r="E270" s="20" t="s">
        <v>206</v>
      </c>
      <c r="F270" s="113" t="s">
        <v>393</v>
      </c>
      <c r="G270" s="19" t="s">
        <v>241</v>
      </c>
      <c r="H270" s="21"/>
      <c r="I270" s="18"/>
      <c r="J270" s="18"/>
      <c r="K270" s="96">
        <f>698000+277000-30329</f>
        <v>944671</v>
      </c>
    </row>
    <row r="271" spans="2:11" ht="101.25" customHeight="1">
      <c r="B271" s="28"/>
      <c r="C271" s="20" t="s">
        <v>222</v>
      </c>
      <c r="D271" s="20" t="s">
        <v>223</v>
      </c>
      <c r="E271" s="20" t="s">
        <v>224</v>
      </c>
      <c r="F271" s="106" t="s">
        <v>367</v>
      </c>
      <c r="G271" s="19" t="s">
        <v>242</v>
      </c>
      <c r="H271" s="21"/>
      <c r="I271" s="18"/>
      <c r="J271" s="18"/>
      <c r="K271" s="96">
        <f>123150+146556</f>
        <v>269706</v>
      </c>
    </row>
    <row r="272" spans="2:11" ht="45.75" customHeight="1">
      <c r="B272" s="28"/>
      <c r="C272" s="20" t="s">
        <v>225</v>
      </c>
      <c r="D272" s="20" t="s">
        <v>226</v>
      </c>
      <c r="E272" s="20" t="s">
        <v>206</v>
      </c>
      <c r="F272" s="110" t="s">
        <v>394</v>
      </c>
      <c r="G272" s="19" t="s">
        <v>243</v>
      </c>
      <c r="H272" s="21"/>
      <c r="I272" s="18"/>
      <c r="J272" s="18"/>
      <c r="K272" s="96">
        <f>198700-33700-8025</f>
        <v>156975</v>
      </c>
    </row>
    <row r="273" spans="2:11" ht="48.75" customHeight="1">
      <c r="B273" s="28"/>
      <c r="C273" s="20" t="s">
        <v>225</v>
      </c>
      <c r="D273" s="20" t="s">
        <v>226</v>
      </c>
      <c r="E273" s="20" t="s">
        <v>206</v>
      </c>
      <c r="F273" s="110" t="s">
        <v>394</v>
      </c>
      <c r="G273" s="19" t="s">
        <v>244</v>
      </c>
      <c r="H273" s="21"/>
      <c r="I273" s="18"/>
      <c r="J273" s="18"/>
      <c r="K273" s="96">
        <f>698700+401900+121575+207825+35000</f>
        <v>1465000</v>
      </c>
    </row>
    <row r="274" spans="2:11" ht="50.25" customHeight="1">
      <c r="B274" s="28"/>
      <c r="C274" s="20" t="s">
        <v>220</v>
      </c>
      <c r="D274" s="20" t="s">
        <v>221</v>
      </c>
      <c r="E274" s="20" t="s">
        <v>206</v>
      </c>
      <c r="F274" s="113" t="s">
        <v>393</v>
      </c>
      <c r="G274" s="25" t="s">
        <v>245</v>
      </c>
      <c r="H274" s="21"/>
      <c r="I274" s="18"/>
      <c r="J274" s="18"/>
      <c r="K274" s="96">
        <f>455000+345425-95000</f>
        <v>705425</v>
      </c>
    </row>
    <row r="275" spans="2:11" ht="32.25" customHeight="1">
      <c r="B275" s="28"/>
      <c r="C275" s="68" t="s">
        <v>396</v>
      </c>
      <c r="D275" s="20"/>
      <c r="E275" s="20"/>
      <c r="F275" s="68" t="s">
        <v>196</v>
      </c>
      <c r="G275" s="25"/>
      <c r="H275" s="21"/>
      <c r="I275" s="18"/>
      <c r="J275" s="18"/>
      <c r="K275" s="96"/>
    </row>
    <row r="276" spans="2:11" ht="42.75" customHeight="1">
      <c r="B276" s="28"/>
      <c r="C276" s="20" t="s">
        <v>227</v>
      </c>
      <c r="D276" s="20" t="s">
        <v>228</v>
      </c>
      <c r="E276" s="20" t="s">
        <v>229</v>
      </c>
      <c r="F276" s="106" t="s">
        <v>380</v>
      </c>
      <c r="G276" s="25" t="s">
        <v>246</v>
      </c>
      <c r="H276" s="21"/>
      <c r="I276" s="18"/>
      <c r="J276" s="18"/>
      <c r="K276" s="96">
        <v>200000</v>
      </c>
    </row>
    <row r="277" spans="2:11" ht="36" customHeight="1">
      <c r="B277" s="28"/>
      <c r="C277" s="68" t="s">
        <v>397</v>
      </c>
      <c r="D277" s="20"/>
      <c r="E277" s="20"/>
      <c r="F277" s="68" t="s">
        <v>197</v>
      </c>
      <c r="G277" s="25"/>
      <c r="H277" s="21"/>
      <c r="I277" s="18"/>
      <c r="J277" s="18"/>
      <c r="K277" s="96"/>
    </row>
    <row r="278" spans="2:11" ht="96.75" customHeight="1">
      <c r="B278" s="28"/>
      <c r="C278" s="20" t="s">
        <v>230</v>
      </c>
      <c r="D278" s="20" t="s">
        <v>223</v>
      </c>
      <c r="E278" s="20" t="s">
        <v>224</v>
      </c>
      <c r="F278" s="106" t="s">
        <v>367</v>
      </c>
      <c r="G278" s="19" t="s">
        <v>29</v>
      </c>
      <c r="H278" s="23"/>
      <c r="I278" s="24"/>
      <c r="J278" s="24"/>
      <c r="K278" s="96">
        <f>27800</f>
        <v>27800</v>
      </c>
    </row>
    <row r="279" spans="2:11" ht="96.75" customHeight="1">
      <c r="B279" s="28"/>
      <c r="C279" s="20" t="s">
        <v>230</v>
      </c>
      <c r="D279" s="20" t="s">
        <v>223</v>
      </c>
      <c r="E279" s="20" t="s">
        <v>224</v>
      </c>
      <c r="F279" s="106" t="s">
        <v>367</v>
      </c>
      <c r="G279" s="19" t="s">
        <v>247</v>
      </c>
      <c r="H279" s="21"/>
      <c r="I279" s="18"/>
      <c r="J279" s="18"/>
      <c r="K279" s="96">
        <f>576796-114000</f>
        <v>462796</v>
      </c>
    </row>
    <row r="280" spans="2:11" ht="96.75" customHeight="1">
      <c r="B280" s="28"/>
      <c r="C280" s="20" t="s">
        <v>230</v>
      </c>
      <c r="D280" s="20" t="s">
        <v>223</v>
      </c>
      <c r="E280" s="20" t="s">
        <v>224</v>
      </c>
      <c r="F280" s="106" t="s">
        <v>367</v>
      </c>
      <c r="G280" s="19" t="s">
        <v>178</v>
      </c>
      <c r="H280" s="21"/>
      <c r="I280" s="18"/>
      <c r="J280" s="18"/>
      <c r="K280" s="96">
        <v>107000</v>
      </c>
    </row>
    <row r="281" spans="2:11" ht="96" customHeight="1">
      <c r="B281" s="28"/>
      <c r="C281" s="20" t="s">
        <v>230</v>
      </c>
      <c r="D281" s="20" t="s">
        <v>223</v>
      </c>
      <c r="E281" s="20" t="s">
        <v>224</v>
      </c>
      <c r="F281" s="106" t="s">
        <v>367</v>
      </c>
      <c r="G281" s="19" t="s">
        <v>14</v>
      </c>
      <c r="H281" s="21"/>
      <c r="I281" s="18"/>
      <c r="J281" s="18"/>
      <c r="K281" s="96">
        <v>60770</v>
      </c>
    </row>
    <row r="282" spans="2:11" ht="37.5" customHeight="1">
      <c r="B282" s="28"/>
      <c r="C282" s="68" t="s">
        <v>231</v>
      </c>
      <c r="D282" s="20"/>
      <c r="E282" s="20"/>
      <c r="F282" s="56" t="s">
        <v>190</v>
      </c>
      <c r="G282" s="25"/>
      <c r="H282" s="21"/>
      <c r="I282" s="18"/>
      <c r="J282" s="18"/>
      <c r="K282" s="96"/>
    </row>
    <row r="283" spans="2:11" ht="48" customHeight="1">
      <c r="B283" s="28"/>
      <c r="C283" s="20" t="s">
        <v>208</v>
      </c>
      <c r="D283" s="58" t="s">
        <v>209</v>
      </c>
      <c r="E283" s="58" t="s">
        <v>206</v>
      </c>
      <c r="F283" s="106" t="s">
        <v>383</v>
      </c>
      <c r="G283" s="25" t="s">
        <v>341</v>
      </c>
      <c r="H283" s="21"/>
      <c r="I283" s="18"/>
      <c r="J283" s="18"/>
      <c r="K283" s="96">
        <f>700000-75000</f>
        <v>625000</v>
      </c>
    </row>
    <row r="284" spans="2:11" ht="48" customHeight="1">
      <c r="B284" s="28"/>
      <c r="C284" s="20"/>
      <c r="D284" s="20"/>
      <c r="E284" s="20"/>
      <c r="F284" s="20"/>
      <c r="G284" s="72" t="s">
        <v>250</v>
      </c>
      <c r="H284" s="21"/>
      <c r="I284" s="18"/>
      <c r="J284" s="18"/>
      <c r="K284" s="99">
        <f>6382922-150025</f>
        <v>6232897</v>
      </c>
    </row>
    <row r="285" spans="2:11" ht="26.25" customHeight="1">
      <c r="B285" s="28"/>
      <c r="C285" s="62"/>
      <c r="D285" s="168" t="s">
        <v>194</v>
      </c>
      <c r="E285" s="169"/>
      <c r="F285" s="169"/>
      <c r="G285" s="169"/>
      <c r="H285" s="63"/>
      <c r="I285" s="63"/>
      <c r="J285" s="63"/>
      <c r="K285" s="100"/>
    </row>
    <row r="286" spans="2:11" ht="26.25" customHeight="1">
      <c r="B286" s="28"/>
      <c r="C286" s="62"/>
      <c r="D286" s="169"/>
      <c r="E286" s="169"/>
      <c r="F286" s="169"/>
      <c r="G286" s="169"/>
      <c r="H286" s="63"/>
      <c r="I286" s="63"/>
      <c r="J286" s="63"/>
      <c r="K286" s="100"/>
    </row>
    <row r="287" spans="2:11" ht="74.25" customHeight="1">
      <c r="B287" s="28"/>
      <c r="C287" s="20" t="s">
        <v>208</v>
      </c>
      <c r="D287" s="20" t="s">
        <v>209</v>
      </c>
      <c r="E287" s="20" t="s">
        <v>206</v>
      </c>
      <c r="F287" s="106" t="s">
        <v>392</v>
      </c>
      <c r="G287" s="19" t="s">
        <v>249</v>
      </c>
      <c r="H287" s="27"/>
      <c r="I287" s="27"/>
      <c r="J287" s="27"/>
      <c r="K287" s="101">
        <v>12000000</v>
      </c>
    </row>
    <row r="288" spans="2:11" ht="26.25" customHeight="1">
      <c r="B288" s="28"/>
      <c r="C288" s="62"/>
      <c r="D288" s="62"/>
      <c r="E288" s="65"/>
      <c r="F288" s="65"/>
      <c r="G288" s="73"/>
      <c r="H288" s="63"/>
      <c r="I288" s="63"/>
      <c r="J288" s="63"/>
      <c r="K288" s="64"/>
    </row>
    <row r="289" spans="2:11" ht="26.25" customHeight="1">
      <c r="B289" s="28"/>
      <c r="C289" s="62"/>
      <c r="D289" s="168" t="s">
        <v>459</v>
      </c>
      <c r="E289" s="174"/>
      <c r="F289" s="174"/>
      <c r="G289" s="174"/>
      <c r="H289" s="63"/>
      <c r="I289" s="63"/>
      <c r="J289" s="63"/>
      <c r="K289" s="64"/>
    </row>
    <row r="290" spans="2:11" ht="26.25" customHeight="1">
      <c r="B290" s="28"/>
      <c r="C290" s="62"/>
      <c r="D290" s="62"/>
      <c r="E290" s="65"/>
      <c r="F290" s="185" t="s">
        <v>460</v>
      </c>
      <c r="G290" s="186"/>
      <c r="H290" s="63"/>
      <c r="I290" s="63"/>
      <c r="J290" s="63"/>
      <c r="K290" s="64"/>
    </row>
    <row r="291" spans="2:11" ht="26.25" customHeight="1">
      <c r="B291" s="28"/>
      <c r="C291" s="62"/>
      <c r="D291" s="62"/>
      <c r="E291" s="65"/>
      <c r="F291" s="65"/>
      <c r="G291" s="73"/>
      <c r="H291" s="63"/>
      <c r="I291" s="63"/>
      <c r="J291" s="63"/>
      <c r="K291" s="64"/>
    </row>
    <row r="292" spans="2:11" ht="45" customHeight="1">
      <c r="B292" s="28"/>
      <c r="C292" s="68" t="s">
        <v>446</v>
      </c>
      <c r="D292" s="20"/>
      <c r="E292" s="20"/>
      <c r="F292" s="68" t="s">
        <v>447</v>
      </c>
      <c r="G292" s="25"/>
      <c r="H292" s="57"/>
      <c r="I292" s="24"/>
      <c r="J292" s="24"/>
      <c r="K292" s="97">
        <v>2094400</v>
      </c>
    </row>
    <row r="293" spans="2:11" ht="73.5" customHeight="1">
      <c r="B293" s="28"/>
      <c r="C293" s="20" t="s">
        <v>461</v>
      </c>
      <c r="D293" s="58" t="s">
        <v>462</v>
      </c>
      <c r="E293" s="58" t="s">
        <v>463</v>
      </c>
      <c r="F293" s="106" t="s">
        <v>464</v>
      </c>
      <c r="G293" s="87" t="s">
        <v>465</v>
      </c>
      <c r="H293" s="57"/>
      <c r="I293" s="24"/>
      <c r="J293" s="24"/>
      <c r="K293" s="96">
        <f>1103300-105320</f>
        <v>997980</v>
      </c>
    </row>
    <row r="294" spans="2:11" ht="73.5" customHeight="1">
      <c r="B294" s="28"/>
      <c r="C294" s="20" t="s">
        <v>461</v>
      </c>
      <c r="D294" s="58" t="s">
        <v>462</v>
      </c>
      <c r="E294" s="58" t="s">
        <v>463</v>
      </c>
      <c r="F294" s="106" t="s">
        <v>464</v>
      </c>
      <c r="G294" s="87" t="s">
        <v>471</v>
      </c>
      <c r="H294" s="57"/>
      <c r="I294" s="24"/>
      <c r="J294" s="24"/>
      <c r="K294" s="96">
        <v>105320</v>
      </c>
    </row>
    <row r="295" spans="2:11" ht="74.25" customHeight="1">
      <c r="B295" s="28"/>
      <c r="C295" s="20" t="s">
        <v>461</v>
      </c>
      <c r="D295" s="20" t="s">
        <v>462</v>
      </c>
      <c r="E295" s="20" t="s">
        <v>463</v>
      </c>
      <c r="F295" s="106" t="s">
        <v>464</v>
      </c>
      <c r="G295" s="87" t="s">
        <v>466</v>
      </c>
      <c r="H295" s="57"/>
      <c r="I295" s="24"/>
      <c r="J295" s="24"/>
      <c r="K295" s="96">
        <f>991100-153801</f>
        <v>837299</v>
      </c>
    </row>
    <row r="296" spans="2:11" ht="74.25" customHeight="1">
      <c r="B296" s="28"/>
      <c r="C296" s="20" t="s">
        <v>461</v>
      </c>
      <c r="D296" s="20" t="s">
        <v>462</v>
      </c>
      <c r="E296" s="20" t="s">
        <v>463</v>
      </c>
      <c r="F296" s="106" t="s">
        <v>464</v>
      </c>
      <c r="G296" s="87" t="s">
        <v>472</v>
      </c>
      <c r="H296" s="23"/>
      <c r="I296" s="24"/>
      <c r="J296" s="24"/>
      <c r="K296" s="96">
        <v>153801</v>
      </c>
    </row>
    <row r="297" spans="2:11" ht="36" customHeight="1">
      <c r="B297" s="28"/>
      <c r="C297" s="62"/>
      <c r="D297" s="62"/>
      <c r="E297" s="62"/>
      <c r="F297" s="118"/>
      <c r="G297" s="119"/>
      <c r="H297" s="120"/>
      <c r="I297" s="121"/>
      <c r="J297" s="121"/>
      <c r="K297" s="100"/>
    </row>
    <row r="298" spans="2:11" ht="51.75" customHeight="1">
      <c r="B298" s="28"/>
      <c r="C298" s="62"/>
      <c r="D298" s="62"/>
      <c r="E298" s="168" t="s">
        <v>15</v>
      </c>
      <c r="F298" s="187"/>
      <c r="G298" s="187"/>
      <c r="H298" s="187"/>
      <c r="I298" s="121"/>
      <c r="J298" s="121"/>
      <c r="K298" s="100"/>
    </row>
    <row r="299" spans="2:11" ht="95.25" customHeight="1">
      <c r="B299" s="28"/>
      <c r="C299" s="20" t="s">
        <v>230</v>
      </c>
      <c r="D299" s="20" t="s">
        <v>223</v>
      </c>
      <c r="E299" s="109" t="s">
        <v>224</v>
      </c>
      <c r="F299" s="106" t="s">
        <v>367</v>
      </c>
      <c r="G299" s="82" t="s">
        <v>98</v>
      </c>
      <c r="H299" s="83"/>
      <c r="I299" s="24"/>
      <c r="J299" s="24"/>
      <c r="K299" s="102">
        <v>185000</v>
      </c>
    </row>
    <row r="300" spans="2:11" ht="69.75" customHeight="1">
      <c r="B300" s="28"/>
      <c r="C300" s="20" t="s">
        <v>16</v>
      </c>
      <c r="D300" s="20" t="s">
        <v>17</v>
      </c>
      <c r="E300" s="20" t="s">
        <v>18</v>
      </c>
      <c r="F300" s="126" t="s">
        <v>19</v>
      </c>
      <c r="G300" s="127" t="s">
        <v>20</v>
      </c>
      <c r="H300" s="102"/>
      <c r="I300" s="101"/>
      <c r="J300" s="101"/>
      <c r="K300" s="102">
        <v>119138</v>
      </c>
    </row>
    <row r="301" spans="2:11" ht="27.75" customHeight="1">
      <c r="B301" s="28"/>
      <c r="C301" s="62"/>
      <c r="D301" s="62"/>
      <c r="E301" s="62"/>
      <c r="F301" s="124"/>
      <c r="G301" s="119"/>
      <c r="H301" s="100"/>
      <c r="I301" s="125"/>
      <c r="J301" s="125"/>
      <c r="K301" s="100"/>
    </row>
    <row r="302" spans="2:11" ht="52.5" customHeight="1">
      <c r="B302" s="28"/>
      <c r="C302" s="168" t="s">
        <v>37</v>
      </c>
      <c r="D302" s="174"/>
      <c r="E302" s="174"/>
      <c r="F302" s="174"/>
      <c r="G302" s="174"/>
      <c r="H302" s="174"/>
      <c r="I302" s="125"/>
      <c r="J302" s="125"/>
      <c r="K302" s="100"/>
    </row>
    <row r="303" spans="2:11" ht="100.5" customHeight="1">
      <c r="B303" s="28"/>
      <c r="C303" s="20" t="s">
        <v>230</v>
      </c>
      <c r="D303" s="20" t="s">
        <v>223</v>
      </c>
      <c r="E303" s="20" t="s">
        <v>224</v>
      </c>
      <c r="F303" s="106" t="s">
        <v>367</v>
      </c>
      <c r="G303" s="127" t="s">
        <v>38</v>
      </c>
      <c r="H303" s="102"/>
      <c r="I303" s="101"/>
      <c r="J303" s="101"/>
      <c r="K303" s="102">
        <v>1999200</v>
      </c>
    </row>
    <row r="304" spans="2:11" ht="30.75" customHeight="1">
      <c r="B304" s="28"/>
      <c r="C304" s="62"/>
      <c r="D304" s="62"/>
      <c r="E304" s="62"/>
      <c r="F304" s="124"/>
      <c r="G304" s="119"/>
      <c r="H304" s="100"/>
      <c r="I304" s="125"/>
      <c r="J304" s="125"/>
      <c r="K304" s="100"/>
    </row>
    <row r="305" spans="2:11" ht="58.5" customHeight="1">
      <c r="B305" s="28"/>
      <c r="C305" s="168" t="s">
        <v>39</v>
      </c>
      <c r="D305" s="174"/>
      <c r="E305" s="174"/>
      <c r="F305" s="174"/>
      <c r="G305" s="174"/>
      <c r="H305" s="174"/>
      <c r="I305" s="125"/>
      <c r="J305" s="125"/>
      <c r="K305" s="100"/>
    </row>
    <row r="306" spans="2:11" ht="101.25" customHeight="1">
      <c r="B306" s="28"/>
      <c r="C306" s="20" t="s">
        <v>230</v>
      </c>
      <c r="D306" s="20" t="s">
        <v>223</v>
      </c>
      <c r="E306" s="20" t="s">
        <v>224</v>
      </c>
      <c r="F306" s="106" t="s">
        <v>367</v>
      </c>
      <c r="G306" s="127" t="s">
        <v>38</v>
      </c>
      <c r="H306" s="102"/>
      <c r="I306" s="101"/>
      <c r="J306" s="101"/>
      <c r="K306" s="128">
        <v>2220660</v>
      </c>
    </row>
    <row r="307" spans="2:11" ht="144" customHeight="1">
      <c r="B307" s="28"/>
      <c r="C307" s="20" t="s">
        <v>40</v>
      </c>
      <c r="D307" s="20" t="s">
        <v>41</v>
      </c>
      <c r="E307" s="20" t="s">
        <v>42</v>
      </c>
      <c r="F307" s="106" t="s">
        <v>43</v>
      </c>
      <c r="G307" s="127" t="s">
        <v>38</v>
      </c>
      <c r="H307" s="102"/>
      <c r="I307" s="101"/>
      <c r="J307" s="101"/>
      <c r="K307" s="128">
        <v>53550</v>
      </c>
    </row>
    <row r="308" spans="2:11" ht="99" customHeight="1">
      <c r="B308" s="28"/>
      <c r="C308" s="175" t="s">
        <v>79</v>
      </c>
      <c r="D308" s="176"/>
      <c r="E308" s="176"/>
      <c r="F308" s="176"/>
      <c r="G308" s="176"/>
      <c r="H308" s="176"/>
      <c r="I308" s="176"/>
      <c r="J308" s="139"/>
      <c r="K308" s="140"/>
    </row>
    <row r="309" spans="2:11" ht="119.25" customHeight="1">
      <c r="B309" s="28"/>
      <c r="C309" s="20" t="s">
        <v>84</v>
      </c>
      <c r="D309" s="20" t="s">
        <v>85</v>
      </c>
      <c r="E309" s="20"/>
      <c r="F309" s="25" t="s">
        <v>87</v>
      </c>
      <c r="G309" s="127" t="s">
        <v>83</v>
      </c>
      <c r="H309" s="102"/>
      <c r="I309" s="101"/>
      <c r="J309" s="101"/>
      <c r="K309" s="128">
        <f>5301192+2592004</f>
        <v>7893196</v>
      </c>
    </row>
    <row r="310" spans="2:11" ht="208.5" customHeight="1">
      <c r="B310" s="28"/>
      <c r="C310" s="20" t="s">
        <v>80</v>
      </c>
      <c r="D310" s="20" t="s">
        <v>81</v>
      </c>
      <c r="E310" s="20" t="s">
        <v>82</v>
      </c>
      <c r="F310" s="25" t="s">
        <v>86</v>
      </c>
      <c r="G310" s="127" t="s">
        <v>83</v>
      </c>
      <c r="H310" s="102"/>
      <c r="I310" s="138"/>
      <c r="J310" s="138"/>
      <c r="K310" s="138">
        <f>5301192+2592004</f>
        <v>7893196</v>
      </c>
    </row>
    <row r="311" spans="2:11" ht="31.5" customHeight="1">
      <c r="B311" s="28"/>
      <c r="C311" s="62"/>
      <c r="D311" s="62"/>
      <c r="E311" s="62"/>
      <c r="F311" s="124"/>
      <c r="G311" s="119"/>
      <c r="H311" s="100"/>
      <c r="I311" s="125"/>
      <c r="J311" s="125"/>
      <c r="K311" s="100"/>
    </row>
    <row r="312" spans="2:11" ht="64.5" customHeight="1">
      <c r="B312" s="28"/>
      <c r="C312" s="177" t="s">
        <v>44</v>
      </c>
      <c r="D312" s="178"/>
      <c r="E312" s="178"/>
      <c r="F312" s="178"/>
      <c r="G312" s="178"/>
      <c r="H312" s="178"/>
      <c r="I312" s="179"/>
      <c r="J312" s="179"/>
      <c r="K312" s="100"/>
    </row>
    <row r="313" spans="2:11" ht="39.75" customHeight="1">
      <c r="B313" s="28"/>
      <c r="C313" s="68" t="s">
        <v>45</v>
      </c>
      <c r="D313" s="129"/>
      <c r="E313" s="130"/>
      <c r="F313" s="77" t="s">
        <v>46</v>
      </c>
      <c r="G313" s="130"/>
      <c r="H313" s="102"/>
      <c r="I313" s="101"/>
      <c r="J313" s="101"/>
      <c r="K313" s="102"/>
    </row>
    <row r="314" spans="2:11" ht="39.75" customHeight="1">
      <c r="B314" s="28"/>
      <c r="C314" s="88">
        <v>3719770</v>
      </c>
      <c r="D314" s="88">
        <v>9770</v>
      </c>
      <c r="E314" s="89" t="s">
        <v>47</v>
      </c>
      <c r="F314" s="106" t="s">
        <v>48</v>
      </c>
      <c r="G314" s="131" t="s">
        <v>77</v>
      </c>
      <c r="H314" s="102"/>
      <c r="I314" s="101"/>
      <c r="J314" s="101"/>
      <c r="K314" s="102">
        <v>3046488</v>
      </c>
    </row>
    <row r="315" spans="2:11" ht="45.75" customHeight="1">
      <c r="B315" s="28"/>
      <c r="C315" s="20"/>
      <c r="D315" s="20"/>
      <c r="E315" s="132"/>
      <c r="F315" s="126"/>
      <c r="G315" s="80" t="s">
        <v>49</v>
      </c>
      <c r="H315" s="102"/>
      <c r="I315" s="101"/>
      <c r="J315" s="101"/>
      <c r="K315" s="101">
        <v>365493</v>
      </c>
    </row>
    <row r="316" spans="2:11" ht="51" customHeight="1">
      <c r="B316" s="28"/>
      <c r="C316" s="20"/>
      <c r="D316" s="20"/>
      <c r="E316" s="132"/>
      <c r="F316" s="126"/>
      <c r="G316" s="80" t="s">
        <v>69</v>
      </c>
      <c r="H316" s="102"/>
      <c r="I316" s="101"/>
      <c r="J316" s="101"/>
      <c r="K316" s="101">
        <v>374260</v>
      </c>
    </row>
    <row r="317" spans="2:11" ht="48.75" customHeight="1">
      <c r="B317" s="28"/>
      <c r="C317" s="20"/>
      <c r="D317" s="20"/>
      <c r="E317" s="132"/>
      <c r="F317" s="126"/>
      <c r="G317" s="80" t="s">
        <v>70</v>
      </c>
      <c r="H317" s="102"/>
      <c r="I317" s="101"/>
      <c r="J317" s="101"/>
      <c r="K317" s="101">
        <v>374975</v>
      </c>
    </row>
    <row r="318" spans="2:11" ht="50.25" customHeight="1">
      <c r="B318" s="28"/>
      <c r="C318" s="20"/>
      <c r="D318" s="20"/>
      <c r="E318" s="132"/>
      <c r="F318" s="126"/>
      <c r="G318" s="80" t="s">
        <v>71</v>
      </c>
      <c r="H318" s="102"/>
      <c r="I318" s="101"/>
      <c r="J318" s="101"/>
      <c r="K318" s="101">
        <v>374958</v>
      </c>
    </row>
    <row r="319" spans="2:11" ht="54" customHeight="1">
      <c r="B319" s="28"/>
      <c r="C319" s="20"/>
      <c r="D319" s="20"/>
      <c r="E319" s="132"/>
      <c r="F319" s="126"/>
      <c r="G319" s="80" t="s">
        <v>72</v>
      </c>
      <c r="H319" s="102"/>
      <c r="I319" s="101"/>
      <c r="J319" s="101"/>
      <c r="K319" s="101">
        <v>364410</v>
      </c>
    </row>
    <row r="320" spans="2:11" ht="48" customHeight="1">
      <c r="B320" s="28"/>
      <c r="C320" s="20"/>
      <c r="D320" s="20"/>
      <c r="E320" s="132"/>
      <c r="F320" s="126"/>
      <c r="G320" s="80" t="s">
        <v>74</v>
      </c>
      <c r="H320" s="102"/>
      <c r="I320" s="101"/>
      <c r="J320" s="101"/>
      <c r="K320" s="101">
        <v>373707</v>
      </c>
    </row>
    <row r="321" spans="2:11" ht="53.25" customHeight="1">
      <c r="B321" s="28"/>
      <c r="C321" s="20"/>
      <c r="D321" s="20"/>
      <c r="E321" s="132"/>
      <c r="F321" s="126"/>
      <c r="G321" s="80" t="s">
        <v>50</v>
      </c>
      <c r="H321" s="102"/>
      <c r="I321" s="101"/>
      <c r="J321" s="101"/>
      <c r="K321" s="101">
        <v>368452</v>
      </c>
    </row>
    <row r="322" spans="2:11" ht="45.75" customHeight="1">
      <c r="B322" s="28"/>
      <c r="C322" s="20"/>
      <c r="D322" s="20"/>
      <c r="E322" s="132"/>
      <c r="F322" s="126"/>
      <c r="G322" s="80" t="s">
        <v>75</v>
      </c>
      <c r="H322" s="102"/>
      <c r="I322" s="101"/>
      <c r="J322" s="101"/>
      <c r="K322" s="101">
        <v>319347</v>
      </c>
    </row>
    <row r="323" spans="2:11" ht="54.75" customHeight="1">
      <c r="B323" s="28"/>
      <c r="C323" s="20"/>
      <c r="D323" s="20"/>
      <c r="E323" s="132"/>
      <c r="F323" s="126"/>
      <c r="G323" s="80" t="s">
        <v>76</v>
      </c>
      <c r="H323" s="102"/>
      <c r="I323" s="101"/>
      <c r="J323" s="101"/>
      <c r="K323" s="101">
        <v>130886</v>
      </c>
    </row>
    <row r="324" spans="2:11" ht="66.75" customHeight="1">
      <c r="B324" s="28"/>
      <c r="C324" s="88">
        <v>3719750</v>
      </c>
      <c r="D324" s="88">
        <v>9750</v>
      </c>
      <c r="E324" s="89" t="s">
        <v>47</v>
      </c>
      <c r="F324" s="106" t="s">
        <v>78</v>
      </c>
      <c r="G324" s="131" t="s">
        <v>51</v>
      </c>
      <c r="H324" s="102"/>
      <c r="I324" s="101"/>
      <c r="J324" s="101"/>
      <c r="K324" s="102">
        <v>456136</v>
      </c>
    </row>
    <row r="325" spans="2:11" ht="66.75" customHeight="1">
      <c r="B325" s="28"/>
      <c r="C325" s="180" t="s">
        <v>96</v>
      </c>
      <c r="D325" s="181"/>
      <c r="E325" s="181"/>
      <c r="F325" s="181"/>
      <c r="G325" s="181"/>
      <c r="H325" s="181"/>
      <c r="I325" s="181"/>
      <c r="J325" s="125"/>
      <c r="K325" s="100"/>
    </row>
    <row r="326" spans="2:11" ht="93" customHeight="1">
      <c r="B326" s="28"/>
      <c r="C326" s="89" t="s">
        <v>230</v>
      </c>
      <c r="D326" s="88">
        <v>1020</v>
      </c>
      <c r="E326" s="89" t="s">
        <v>224</v>
      </c>
      <c r="F326" s="106" t="s">
        <v>367</v>
      </c>
      <c r="G326" s="80" t="s">
        <v>99</v>
      </c>
      <c r="H326" s="102"/>
      <c r="I326" s="101"/>
      <c r="J326" s="101"/>
      <c r="K326" s="102">
        <v>1206638</v>
      </c>
    </row>
    <row r="327" spans="2:11" ht="144.75" customHeight="1">
      <c r="B327" s="28"/>
      <c r="C327" s="89" t="s">
        <v>40</v>
      </c>
      <c r="D327" s="88">
        <v>1070</v>
      </c>
      <c r="E327" s="89" t="s">
        <v>42</v>
      </c>
      <c r="F327" s="106" t="s">
        <v>97</v>
      </c>
      <c r="G327" s="80" t="s">
        <v>98</v>
      </c>
      <c r="H327" s="102"/>
      <c r="I327" s="101"/>
      <c r="J327" s="101"/>
      <c r="K327" s="102">
        <v>27563</v>
      </c>
    </row>
    <row r="328" spans="2:11" ht="39" customHeight="1">
      <c r="B328" s="28"/>
      <c r="C328" s="141"/>
      <c r="D328" s="141"/>
      <c r="E328" s="142"/>
      <c r="F328" s="118"/>
      <c r="G328" s="143"/>
      <c r="H328" s="100"/>
      <c r="I328" s="125"/>
      <c r="J328" s="125"/>
      <c r="K328" s="100"/>
    </row>
    <row r="329" spans="2:11" ht="49.5" customHeight="1">
      <c r="B329" s="28"/>
      <c r="C329" s="168" t="s">
        <v>52</v>
      </c>
      <c r="D329" s="174"/>
      <c r="E329" s="174"/>
      <c r="F329" s="174"/>
      <c r="G329" s="174"/>
      <c r="H329" s="174"/>
      <c r="I329" s="125"/>
      <c r="J329" s="125"/>
      <c r="K329" s="100"/>
    </row>
    <row r="330" spans="2:11" ht="36" customHeight="1">
      <c r="B330" s="28"/>
      <c r="C330" s="129" t="s">
        <v>395</v>
      </c>
      <c r="D330" s="129"/>
      <c r="E330" s="82"/>
      <c r="F330" s="133" t="s">
        <v>186</v>
      </c>
      <c r="G330" s="130"/>
      <c r="H330" s="102"/>
      <c r="I330" s="101"/>
      <c r="J330" s="101"/>
      <c r="K330" s="102"/>
    </row>
    <row r="331" spans="2:11" ht="71.25" customHeight="1">
      <c r="B331" s="28"/>
      <c r="C331" s="89">
        <v>1517321</v>
      </c>
      <c r="D331" s="89">
        <v>7321</v>
      </c>
      <c r="E331" s="89" t="s">
        <v>206</v>
      </c>
      <c r="F331" s="106" t="s">
        <v>360</v>
      </c>
      <c r="G331" s="80" t="s">
        <v>56</v>
      </c>
      <c r="H331" s="102"/>
      <c r="I331" s="101"/>
      <c r="J331" s="101"/>
      <c r="K331" s="101">
        <v>567610</v>
      </c>
    </row>
    <row r="332" spans="2:11" ht="72.75" customHeight="1">
      <c r="B332" s="28"/>
      <c r="C332" s="89">
        <v>1517321</v>
      </c>
      <c r="D332" s="89">
        <v>7321</v>
      </c>
      <c r="E332" s="90" t="s">
        <v>206</v>
      </c>
      <c r="F332" s="106" t="s">
        <v>360</v>
      </c>
      <c r="G332" s="80" t="s">
        <v>57</v>
      </c>
      <c r="H332" s="102"/>
      <c r="I332" s="101"/>
      <c r="J332" s="101"/>
      <c r="K332" s="101">
        <v>547948</v>
      </c>
    </row>
    <row r="333" spans="2:11" ht="68.25" customHeight="1">
      <c r="B333" s="28"/>
      <c r="C333" s="89">
        <v>1517321</v>
      </c>
      <c r="D333" s="89">
        <v>7321</v>
      </c>
      <c r="E333" s="90" t="s">
        <v>206</v>
      </c>
      <c r="F333" s="106" t="s">
        <v>360</v>
      </c>
      <c r="G333" s="80" t="s">
        <v>58</v>
      </c>
      <c r="H333" s="102"/>
      <c r="I333" s="101"/>
      <c r="J333" s="101"/>
      <c r="K333" s="101">
        <v>578655</v>
      </c>
    </row>
    <row r="334" spans="2:11" ht="76.5" customHeight="1">
      <c r="B334" s="28"/>
      <c r="C334" s="89">
        <v>1517321</v>
      </c>
      <c r="D334" s="89">
        <v>7321</v>
      </c>
      <c r="E334" s="90" t="s">
        <v>206</v>
      </c>
      <c r="F334" s="106" t="s">
        <v>360</v>
      </c>
      <c r="G334" s="19" t="s">
        <v>125</v>
      </c>
      <c r="H334" s="102"/>
      <c r="I334" s="101"/>
      <c r="J334" s="101"/>
      <c r="K334" s="101">
        <v>779084</v>
      </c>
    </row>
    <row r="335" spans="2:11" ht="91.5" customHeight="1">
      <c r="B335" s="28"/>
      <c r="C335" s="89">
        <v>1517321</v>
      </c>
      <c r="D335" s="89">
        <v>7321</v>
      </c>
      <c r="E335" s="90" t="s">
        <v>206</v>
      </c>
      <c r="F335" s="106" t="s">
        <v>360</v>
      </c>
      <c r="G335" s="19" t="s">
        <v>126</v>
      </c>
      <c r="H335" s="102"/>
      <c r="I335" s="101"/>
      <c r="J335" s="101"/>
      <c r="K335" s="101">
        <v>663660</v>
      </c>
    </row>
    <row r="336" spans="2:11" ht="69.75" customHeight="1">
      <c r="B336" s="28"/>
      <c r="C336" s="89">
        <v>1517321</v>
      </c>
      <c r="D336" s="89">
        <v>7321</v>
      </c>
      <c r="E336" s="90" t="s">
        <v>206</v>
      </c>
      <c r="F336" s="106" t="s">
        <v>360</v>
      </c>
      <c r="G336" s="80" t="s">
        <v>59</v>
      </c>
      <c r="H336" s="102"/>
      <c r="I336" s="101"/>
      <c r="J336" s="101"/>
      <c r="K336" s="101">
        <v>597941</v>
      </c>
    </row>
    <row r="337" spans="2:11" ht="75.75" customHeight="1">
      <c r="B337" s="28"/>
      <c r="C337" s="89">
        <v>1517321</v>
      </c>
      <c r="D337" s="89">
        <v>7321</v>
      </c>
      <c r="E337" s="90" t="s">
        <v>206</v>
      </c>
      <c r="F337" s="106" t="s">
        <v>360</v>
      </c>
      <c r="G337" s="80" t="s">
        <v>60</v>
      </c>
      <c r="H337" s="102"/>
      <c r="I337" s="101"/>
      <c r="J337" s="101"/>
      <c r="K337" s="101">
        <v>583010</v>
      </c>
    </row>
    <row r="338" spans="2:11" ht="67.5" customHeight="1">
      <c r="B338" s="28"/>
      <c r="C338" s="89">
        <v>1517321</v>
      </c>
      <c r="D338" s="89">
        <v>7321</v>
      </c>
      <c r="E338" s="90" t="s">
        <v>206</v>
      </c>
      <c r="F338" s="106" t="s">
        <v>360</v>
      </c>
      <c r="G338" s="80" t="s">
        <v>61</v>
      </c>
      <c r="H338" s="102"/>
      <c r="I338" s="101"/>
      <c r="J338" s="101"/>
      <c r="K338" s="101">
        <v>507104</v>
      </c>
    </row>
    <row r="339" spans="2:11" ht="74.25" customHeight="1">
      <c r="B339" s="28"/>
      <c r="C339" s="89">
        <v>1517321</v>
      </c>
      <c r="D339" s="89">
        <v>7321</v>
      </c>
      <c r="E339" s="90" t="s">
        <v>206</v>
      </c>
      <c r="F339" s="106" t="s">
        <v>360</v>
      </c>
      <c r="G339" s="80" t="s">
        <v>62</v>
      </c>
      <c r="H339" s="102"/>
      <c r="I339" s="101"/>
      <c r="J339" s="101"/>
      <c r="K339" s="101">
        <v>574424</v>
      </c>
    </row>
    <row r="340" spans="2:11" ht="69.75" customHeight="1">
      <c r="B340" s="28"/>
      <c r="C340" s="89">
        <v>1517321</v>
      </c>
      <c r="D340" s="89">
        <v>7321</v>
      </c>
      <c r="E340" s="90" t="s">
        <v>206</v>
      </c>
      <c r="F340" s="106" t="s">
        <v>360</v>
      </c>
      <c r="G340" s="80" t="s">
        <v>67</v>
      </c>
      <c r="H340" s="102"/>
      <c r="I340" s="101"/>
      <c r="J340" s="101"/>
      <c r="K340" s="101">
        <v>537542</v>
      </c>
    </row>
    <row r="341" spans="2:11" ht="72" customHeight="1">
      <c r="B341" s="28"/>
      <c r="C341" s="89">
        <v>1517321</v>
      </c>
      <c r="D341" s="89">
        <v>7321</v>
      </c>
      <c r="E341" s="90" t="s">
        <v>206</v>
      </c>
      <c r="F341" s="106" t="s">
        <v>360</v>
      </c>
      <c r="G341" s="80" t="s">
        <v>63</v>
      </c>
      <c r="H341" s="102"/>
      <c r="I341" s="101"/>
      <c r="J341" s="101"/>
      <c r="K341" s="101">
        <v>587850</v>
      </c>
    </row>
    <row r="342" spans="2:11" ht="72.75" customHeight="1">
      <c r="B342" s="28"/>
      <c r="C342" s="89">
        <v>1517321</v>
      </c>
      <c r="D342" s="89">
        <v>7321</v>
      </c>
      <c r="E342" s="90" t="s">
        <v>206</v>
      </c>
      <c r="F342" s="106" t="s">
        <v>360</v>
      </c>
      <c r="G342" s="80" t="s">
        <v>64</v>
      </c>
      <c r="H342" s="102"/>
      <c r="I342" s="101"/>
      <c r="J342" s="101"/>
      <c r="K342" s="101">
        <v>546773</v>
      </c>
    </row>
    <row r="343" spans="2:11" ht="78" customHeight="1">
      <c r="B343" s="28"/>
      <c r="C343" s="89">
        <v>1517321</v>
      </c>
      <c r="D343" s="89">
        <v>7321</v>
      </c>
      <c r="E343" s="90" t="s">
        <v>206</v>
      </c>
      <c r="F343" s="106" t="s">
        <v>360</v>
      </c>
      <c r="G343" s="19" t="s">
        <v>88</v>
      </c>
      <c r="H343" s="102"/>
      <c r="I343" s="101"/>
      <c r="J343" s="101"/>
      <c r="K343" s="101">
        <v>558186</v>
      </c>
    </row>
    <row r="344" spans="2:11" ht="67.5" customHeight="1">
      <c r="B344" s="28"/>
      <c r="C344" s="89">
        <v>1517321</v>
      </c>
      <c r="D344" s="89">
        <v>7321</v>
      </c>
      <c r="E344" s="90" t="s">
        <v>206</v>
      </c>
      <c r="F344" s="106" t="s">
        <v>360</v>
      </c>
      <c r="G344" s="80" t="s">
        <v>65</v>
      </c>
      <c r="H344" s="102"/>
      <c r="I344" s="101"/>
      <c r="J344" s="101"/>
      <c r="K344" s="101">
        <v>593837</v>
      </c>
    </row>
    <row r="345" spans="2:11" ht="80.25" customHeight="1">
      <c r="B345" s="28"/>
      <c r="C345" s="89">
        <v>1517321</v>
      </c>
      <c r="D345" s="89">
        <v>7321</v>
      </c>
      <c r="E345" s="90" t="s">
        <v>206</v>
      </c>
      <c r="F345" s="106" t="s">
        <v>360</v>
      </c>
      <c r="G345" s="80" t="s">
        <v>68</v>
      </c>
      <c r="H345" s="102"/>
      <c r="I345" s="101"/>
      <c r="J345" s="101"/>
      <c r="K345" s="101">
        <v>584882</v>
      </c>
    </row>
    <row r="346" spans="2:11" ht="68.25" customHeight="1">
      <c r="B346" s="28"/>
      <c r="C346" s="89">
        <v>1517321</v>
      </c>
      <c r="D346" s="89">
        <v>7321</v>
      </c>
      <c r="E346" s="90" t="s">
        <v>206</v>
      </c>
      <c r="F346" s="106" t="s">
        <v>360</v>
      </c>
      <c r="G346" s="80" t="s">
        <v>66</v>
      </c>
      <c r="H346" s="102"/>
      <c r="I346" s="101"/>
      <c r="J346" s="101"/>
      <c r="K346" s="101">
        <v>758963</v>
      </c>
    </row>
    <row r="347" spans="2:11" ht="54" customHeight="1">
      <c r="B347" s="28"/>
      <c r="C347" s="89" t="s">
        <v>344</v>
      </c>
      <c r="D347" s="89" t="s">
        <v>209</v>
      </c>
      <c r="E347" s="90" t="s">
        <v>206</v>
      </c>
      <c r="F347" s="106" t="s">
        <v>383</v>
      </c>
      <c r="G347" s="87" t="s">
        <v>53</v>
      </c>
      <c r="H347" s="102"/>
      <c r="I347" s="101"/>
      <c r="J347" s="101"/>
      <c r="K347" s="101">
        <v>7949624</v>
      </c>
    </row>
    <row r="348" spans="2:11" ht="51.75" customHeight="1">
      <c r="B348" s="28"/>
      <c r="C348" s="89" t="s">
        <v>344</v>
      </c>
      <c r="D348" s="89" t="s">
        <v>209</v>
      </c>
      <c r="E348" s="90" t="s">
        <v>206</v>
      </c>
      <c r="F348" s="106" t="s">
        <v>383</v>
      </c>
      <c r="G348" s="87" t="s">
        <v>54</v>
      </c>
      <c r="H348" s="102"/>
      <c r="I348" s="101"/>
      <c r="J348" s="101"/>
      <c r="K348" s="101">
        <v>2003207</v>
      </c>
    </row>
    <row r="349" spans="2:11" ht="39.75" customHeight="1">
      <c r="B349" s="28"/>
      <c r="C349" s="134"/>
      <c r="D349" s="135"/>
      <c r="E349" s="136"/>
      <c r="F349" s="136"/>
      <c r="G349" s="137" t="s">
        <v>55</v>
      </c>
      <c r="H349" s="102"/>
      <c r="I349" s="101"/>
      <c r="J349" s="101"/>
      <c r="K349" s="102">
        <v>19520300</v>
      </c>
    </row>
    <row r="350" spans="2:11" ht="39.75" customHeight="1">
      <c r="B350" s="28"/>
      <c r="C350" s="156"/>
      <c r="D350" s="155"/>
      <c r="E350" s="157"/>
      <c r="F350" s="157"/>
      <c r="G350" s="158"/>
      <c r="H350" s="159"/>
      <c r="I350" s="160"/>
      <c r="J350" s="160"/>
      <c r="K350" s="100"/>
    </row>
    <row r="351" spans="2:11" ht="51" customHeight="1">
      <c r="B351" s="28"/>
      <c r="C351" s="182" t="s">
        <v>143</v>
      </c>
      <c r="D351" s="183"/>
      <c r="E351" s="183"/>
      <c r="F351" s="183"/>
      <c r="G351" s="183"/>
      <c r="H351" s="183"/>
      <c r="I351" s="125"/>
      <c r="J351" s="125"/>
      <c r="K351" s="100"/>
    </row>
    <row r="352" spans="2:11" ht="39" customHeight="1">
      <c r="B352" s="28"/>
      <c r="C352" s="163"/>
      <c r="D352" s="164"/>
      <c r="E352" s="164"/>
      <c r="F352" s="164"/>
      <c r="G352" s="164"/>
      <c r="H352" s="164"/>
      <c r="I352" s="125"/>
      <c r="J352" s="125"/>
      <c r="K352" s="100"/>
    </row>
    <row r="353" spans="2:11" ht="39" customHeight="1">
      <c r="B353" s="28"/>
      <c r="C353" s="129" t="s">
        <v>395</v>
      </c>
      <c r="D353" s="129"/>
      <c r="E353" s="82"/>
      <c r="F353" s="133" t="s">
        <v>186</v>
      </c>
      <c r="G353" s="130"/>
      <c r="H353" s="102"/>
      <c r="I353" s="101"/>
      <c r="J353" s="101"/>
      <c r="K353" s="102"/>
    </row>
    <row r="354" spans="2:11" ht="72" customHeight="1">
      <c r="B354" s="28"/>
      <c r="C354" s="89">
        <v>1517321</v>
      </c>
      <c r="D354" s="89">
        <v>7321</v>
      </c>
      <c r="E354" s="89" t="s">
        <v>206</v>
      </c>
      <c r="F354" s="106" t="s">
        <v>360</v>
      </c>
      <c r="G354" s="80" t="s">
        <v>56</v>
      </c>
      <c r="H354" s="102"/>
      <c r="I354" s="101"/>
      <c r="J354" s="101"/>
      <c r="K354" s="101">
        <f>91957-74085</f>
        <v>17872</v>
      </c>
    </row>
    <row r="355" spans="2:11" ht="76.5" customHeight="1">
      <c r="B355" s="28"/>
      <c r="C355" s="89">
        <v>1517321</v>
      </c>
      <c r="D355" s="89">
        <v>7321</v>
      </c>
      <c r="E355" s="90" t="s">
        <v>206</v>
      </c>
      <c r="F355" s="106" t="s">
        <v>360</v>
      </c>
      <c r="G355" s="80" t="s">
        <v>57</v>
      </c>
      <c r="H355" s="102"/>
      <c r="I355" s="101"/>
      <c r="J355" s="101"/>
      <c r="K355" s="101">
        <f>65851-34160</f>
        <v>31691</v>
      </c>
    </row>
    <row r="356" spans="2:11" ht="78.75" customHeight="1">
      <c r="B356" s="28"/>
      <c r="C356" s="89">
        <v>1517321</v>
      </c>
      <c r="D356" s="89">
        <v>7321</v>
      </c>
      <c r="E356" s="90" t="s">
        <v>206</v>
      </c>
      <c r="F356" s="106" t="s">
        <v>360</v>
      </c>
      <c r="G356" s="80" t="s">
        <v>58</v>
      </c>
      <c r="H356" s="102"/>
      <c r="I356" s="101"/>
      <c r="J356" s="101"/>
      <c r="K356" s="101">
        <f>115654-40475</f>
        <v>75179</v>
      </c>
    </row>
    <row r="357" spans="2:11" ht="75" customHeight="1">
      <c r="B357" s="28"/>
      <c r="C357" s="89">
        <v>1517321</v>
      </c>
      <c r="D357" s="89">
        <v>7321</v>
      </c>
      <c r="E357" s="90" t="s">
        <v>206</v>
      </c>
      <c r="F357" s="106" t="s">
        <v>360</v>
      </c>
      <c r="G357" s="19" t="s">
        <v>125</v>
      </c>
      <c r="H357" s="102"/>
      <c r="I357" s="101"/>
      <c r="J357" s="101"/>
      <c r="K357" s="101">
        <f>96603-61384</f>
        <v>35219</v>
      </c>
    </row>
    <row r="358" spans="2:11" ht="69" customHeight="1">
      <c r="B358" s="28"/>
      <c r="C358" s="89">
        <v>1517321</v>
      </c>
      <c r="D358" s="89">
        <v>7321</v>
      </c>
      <c r="E358" s="90" t="s">
        <v>206</v>
      </c>
      <c r="F358" s="106" t="s">
        <v>360</v>
      </c>
      <c r="G358" s="80" t="s">
        <v>59</v>
      </c>
      <c r="H358" s="102"/>
      <c r="I358" s="101"/>
      <c r="J358" s="101"/>
      <c r="K358" s="101">
        <f>99293-68805</f>
        <v>30488</v>
      </c>
    </row>
    <row r="359" spans="2:11" ht="69" customHeight="1">
      <c r="B359" s="28"/>
      <c r="C359" s="89">
        <v>1517321</v>
      </c>
      <c r="D359" s="89">
        <v>7321</v>
      </c>
      <c r="E359" s="90" t="s">
        <v>206</v>
      </c>
      <c r="F359" s="106" t="s">
        <v>360</v>
      </c>
      <c r="G359" s="80" t="s">
        <v>60</v>
      </c>
      <c r="H359" s="102"/>
      <c r="I359" s="101"/>
      <c r="J359" s="101"/>
      <c r="K359" s="101">
        <f>104594-84030</f>
        <v>20564</v>
      </c>
    </row>
    <row r="360" spans="2:11" ht="70.5" customHeight="1">
      <c r="B360" s="28"/>
      <c r="C360" s="89">
        <v>1517321</v>
      </c>
      <c r="D360" s="89">
        <v>7321</v>
      </c>
      <c r="E360" s="90" t="s">
        <v>206</v>
      </c>
      <c r="F360" s="106" t="s">
        <v>360</v>
      </c>
      <c r="G360" s="80" t="s">
        <v>62</v>
      </c>
      <c r="H360" s="102"/>
      <c r="I360" s="101"/>
      <c r="J360" s="101"/>
      <c r="K360" s="101">
        <f>76229-33166</f>
        <v>43063</v>
      </c>
    </row>
    <row r="361" spans="2:11" ht="69" customHeight="1">
      <c r="B361" s="28"/>
      <c r="C361" s="89">
        <v>1517321</v>
      </c>
      <c r="D361" s="89">
        <v>7321</v>
      </c>
      <c r="E361" s="90" t="s">
        <v>206</v>
      </c>
      <c r="F361" s="106" t="s">
        <v>360</v>
      </c>
      <c r="G361" s="80" t="s">
        <v>67</v>
      </c>
      <c r="H361" s="102"/>
      <c r="I361" s="101"/>
      <c r="J361" s="101"/>
      <c r="K361" s="101">
        <f>77066-38100</f>
        <v>38966</v>
      </c>
    </row>
    <row r="362" spans="2:11" ht="68.25" customHeight="1">
      <c r="B362" s="28"/>
      <c r="C362" s="89">
        <v>1517321</v>
      </c>
      <c r="D362" s="89">
        <v>7321</v>
      </c>
      <c r="E362" s="90" t="s">
        <v>206</v>
      </c>
      <c r="F362" s="106" t="s">
        <v>360</v>
      </c>
      <c r="G362" s="80" t="s">
        <v>63</v>
      </c>
      <c r="H362" s="102"/>
      <c r="I362" s="101"/>
      <c r="J362" s="101"/>
      <c r="K362" s="101">
        <f>79158-31009</f>
        <v>48149</v>
      </c>
    </row>
    <row r="363" spans="2:11" ht="72.75" customHeight="1">
      <c r="B363" s="28"/>
      <c r="C363" s="89">
        <v>1517321</v>
      </c>
      <c r="D363" s="89">
        <v>7321</v>
      </c>
      <c r="E363" s="90" t="s">
        <v>206</v>
      </c>
      <c r="F363" s="106" t="s">
        <v>360</v>
      </c>
      <c r="G363" s="80" t="s">
        <v>64</v>
      </c>
      <c r="H363" s="102"/>
      <c r="I363" s="101"/>
      <c r="J363" s="101"/>
      <c r="K363" s="101">
        <f>65965-43061</f>
        <v>22904</v>
      </c>
    </row>
    <row r="364" spans="2:11" ht="74.25" customHeight="1">
      <c r="B364" s="28"/>
      <c r="C364" s="89">
        <v>1517321</v>
      </c>
      <c r="D364" s="89">
        <v>7321</v>
      </c>
      <c r="E364" s="90" t="s">
        <v>206</v>
      </c>
      <c r="F364" s="106" t="s">
        <v>360</v>
      </c>
      <c r="G364" s="19" t="s">
        <v>88</v>
      </c>
      <c r="H364" s="102"/>
      <c r="I364" s="101"/>
      <c r="J364" s="101"/>
      <c r="K364" s="101">
        <f>87663-39555</f>
        <v>48108</v>
      </c>
    </row>
    <row r="365" spans="2:11" ht="68.25" customHeight="1">
      <c r="B365" s="28"/>
      <c r="C365" s="89">
        <v>1517321</v>
      </c>
      <c r="D365" s="89">
        <v>7321</v>
      </c>
      <c r="E365" s="90" t="s">
        <v>206</v>
      </c>
      <c r="F365" s="106" t="s">
        <v>360</v>
      </c>
      <c r="G365" s="80" t="s">
        <v>65</v>
      </c>
      <c r="H365" s="102"/>
      <c r="I365" s="101"/>
      <c r="J365" s="101"/>
      <c r="K365" s="101">
        <f>113084-26118</f>
        <v>86966</v>
      </c>
    </row>
    <row r="366" spans="2:11" ht="72.75" customHeight="1">
      <c r="B366" s="28"/>
      <c r="C366" s="89">
        <v>1517321</v>
      </c>
      <c r="D366" s="89">
        <v>7321</v>
      </c>
      <c r="E366" s="90" t="s">
        <v>206</v>
      </c>
      <c r="F366" s="106" t="s">
        <v>360</v>
      </c>
      <c r="G366" s="80" t="s">
        <v>68</v>
      </c>
      <c r="H366" s="102"/>
      <c r="I366" s="101"/>
      <c r="J366" s="101"/>
      <c r="K366" s="101">
        <f>96089-34220</f>
        <v>61869</v>
      </c>
    </row>
    <row r="367" spans="2:11" ht="72.75" customHeight="1">
      <c r="B367" s="28"/>
      <c r="C367" s="89">
        <v>1517321</v>
      </c>
      <c r="D367" s="89">
        <v>7321</v>
      </c>
      <c r="E367" s="90" t="s">
        <v>206</v>
      </c>
      <c r="F367" s="106" t="s">
        <v>360</v>
      </c>
      <c r="G367" s="80" t="s">
        <v>66</v>
      </c>
      <c r="H367" s="102"/>
      <c r="I367" s="101"/>
      <c r="J367" s="101"/>
      <c r="K367" s="101">
        <f>131186-19430</f>
        <v>111756</v>
      </c>
    </row>
    <row r="368" spans="2:11" ht="59.25" customHeight="1">
      <c r="B368" s="28"/>
      <c r="C368" s="89" t="s">
        <v>344</v>
      </c>
      <c r="D368" s="89" t="s">
        <v>209</v>
      </c>
      <c r="E368" s="90" t="s">
        <v>206</v>
      </c>
      <c r="F368" s="106" t="s">
        <v>383</v>
      </c>
      <c r="G368" s="87" t="s">
        <v>53</v>
      </c>
      <c r="H368" s="102"/>
      <c r="I368" s="101"/>
      <c r="J368" s="101"/>
      <c r="K368" s="101">
        <v>2200000</v>
      </c>
    </row>
    <row r="369" spans="2:11" ht="57" customHeight="1">
      <c r="B369" s="28"/>
      <c r="C369" s="89" t="s">
        <v>344</v>
      </c>
      <c r="D369" s="89" t="s">
        <v>209</v>
      </c>
      <c r="E369" s="90" t="s">
        <v>206</v>
      </c>
      <c r="F369" s="106" t="s">
        <v>383</v>
      </c>
      <c r="G369" s="87" t="s">
        <v>54</v>
      </c>
      <c r="H369" s="102"/>
      <c r="I369" s="101"/>
      <c r="J369" s="101"/>
      <c r="K369" s="101">
        <f>420000-74461</f>
        <v>345539</v>
      </c>
    </row>
    <row r="370" spans="2:11" ht="39" customHeight="1">
      <c r="B370" s="28"/>
      <c r="C370" s="134"/>
      <c r="D370" s="135"/>
      <c r="E370" s="136"/>
      <c r="F370" s="136"/>
      <c r="G370" s="137" t="s">
        <v>55</v>
      </c>
      <c r="H370" s="102"/>
      <c r="I370" s="101"/>
      <c r="J370" s="101"/>
      <c r="K370" s="102">
        <f>SUM(K354:K369)</f>
        <v>3218333</v>
      </c>
    </row>
    <row r="371" spans="2:11" ht="39.75" customHeight="1">
      <c r="B371" s="28"/>
      <c r="C371" s="62"/>
      <c r="D371" s="154"/>
      <c r="E371" s="161"/>
      <c r="F371" s="161"/>
      <c r="G371" s="162"/>
      <c r="H371" s="100"/>
      <c r="I371" s="125"/>
      <c r="J371" s="125"/>
      <c r="K371" s="100"/>
    </row>
    <row r="372" spans="2:11" ht="60.75" customHeight="1">
      <c r="B372" s="28"/>
      <c r="C372" s="168" t="s">
        <v>100</v>
      </c>
      <c r="D372" s="169"/>
      <c r="E372" s="169"/>
      <c r="F372" s="169"/>
      <c r="G372" s="169"/>
      <c r="H372" s="169"/>
      <c r="I372" s="169"/>
      <c r="J372" s="169"/>
      <c r="K372" s="100"/>
    </row>
    <row r="373" spans="2:11" ht="60.75" customHeight="1">
      <c r="B373" s="28"/>
      <c r="C373" s="129" t="s">
        <v>231</v>
      </c>
      <c r="D373" s="111"/>
      <c r="E373" s="111"/>
      <c r="F373" s="151" t="s">
        <v>190</v>
      </c>
      <c r="G373" s="111"/>
      <c r="H373" s="111"/>
      <c r="I373" s="111"/>
      <c r="J373" s="111"/>
      <c r="K373" s="102">
        <f>SUM(K374,K379,K385,K390,K399:K406)</f>
        <v>29735089</v>
      </c>
    </row>
    <row r="374" spans="2:11" ht="81" customHeight="1">
      <c r="B374" s="28"/>
      <c r="C374" s="89" t="s">
        <v>101</v>
      </c>
      <c r="D374" s="89" t="s">
        <v>102</v>
      </c>
      <c r="E374" s="89" t="s">
        <v>434</v>
      </c>
      <c r="F374" s="106" t="s">
        <v>103</v>
      </c>
      <c r="G374" s="80" t="s">
        <v>104</v>
      </c>
      <c r="H374" s="102"/>
      <c r="I374" s="101"/>
      <c r="J374" s="101"/>
      <c r="K374" s="101">
        <f>1400000+652346</f>
        <v>2052346</v>
      </c>
    </row>
    <row r="375" spans="2:11" ht="27.75" customHeight="1">
      <c r="B375" s="28"/>
      <c r="C375" s="89"/>
      <c r="D375" s="89"/>
      <c r="E375" s="90"/>
      <c r="F375" s="106"/>
      <c r="G375" s="80" t="s">
        <v>105</v>
      </c>
      <c r="H375" s="102"/>
      <c r="I375" s="101"/>
      <c r="J375" s="101"/>
      <c r="K375" s="101">
        <f>500000+130000</f>
        <v>630000</v>
      </c>
    </row>
    <row r="376" spans="2:11" ht="25.5" customHeight="1">
      <c r="B376" s="28"/>
      <c r="C376" s="89"/>
      <c r="D376" s="89"/>
      <c r="E376" s="90"/>
      <c r="F376" s="106"/>
      <c r="G376" s="80" t="s">
        <v>106</v>
      </c>
      <c r="H376" s="102"/>
      <c r="I376" s="101"/>
      <c r="J376" s="101"/>
      <c r="K376" s="101">
        <f>500000+180000</f>
        <v>680000</v>
      </c>
    </row>
    <row r="377" spans="2:11" ht="25.5" customHeight="1">
      <c r="B377" s="28"/>
      <c r="C377" s="89"/>
      <c r="D377" s="89"/>
      <c r="E377" s="90"/>
      <c r="F377" s="106"/>
      <c r="G377" s="80" t="s">
        <v>515</v>
      </c>
      <c r="H377" s="102"/>
      <c r="I377" s="101"/>
      <c r="J377" s="101"/>
      <c r="K377" s="101">
        <v>344655</v>
      </c>
    </row>
    <row r="378" spans="2:11" ht="27" customHeight="1">
      <c r="B378" s="28"/>
      <c r="C378" s="89"/>
      <c r="D378" s="89"/>
      <c r="E378" s="90"/>
      <c r="F378" s="106"/>
      <c r="G378" s="80" t="s">
        <v>107</v>
      </c>
      <c r="H378" s="102"/>
      <c r="I378" s="101"/>
      <c r="J378" s="101"/>
      <c r="K378" s="101">
        <f>400000-2309</f>
        <v>397691</v>
      </c>
    </row>
    <row r="379" spans="2:11" ht="75" customHeight="1">
      <c r="B379" s="28"/>
      <c r="C379" s="89" t="s">
        <v>101</v>
      </c>
      <c r="D379" s="89" t="s">
        <v>102</v>
      </c>
      <c r="E379" s="89" t="s">
        <v>434</v>
      </c>
      <c r="F379" s="106" t="s">
        <v>103</v>
      </c>
      <c r="G379" s="80" t="s">
        <v>108</v>
      </c>
      <c r="H379" s="102"/>
      <c r="I379" s="101"/>
      <c r="J379" s="101"/>
      <c r="K379" s="101">
        <f>1800000+167882</f>
        <v>1967882</v>
      </c>
    </row>
    <row r="380" spans="2:11" ht="39.75" customHeight="1">
      <c r="B380" s="28"/>
      <c r="C380" s="89"/>
      <c r="D380" s="89"/>
      <c r="E380" s="90"/>
      <c r="F380" s="106"/>
      <c r="G380" s="80" t="s">
        <v>109</v>
      </c>
      <c r="H380" s="102"/>
      <c r="I380" s="101"/>
      <c r="J380" s="101"/>
      <c r="K380" s="101">
        <v>200000</v>
      </c>
    </row>
    <row r="381" spans="2:11" ht="39.75" customHeight="1">
      <c r="B381" s="28"/>
      <c r="C381" s="89"/>
      <c r="D381" s="89"/>
      <c r="E381" s="90"/>
      <c r="F381" s="106"/>
      <c r="G381" s="80" t="s">
        <v>110</v>
      </c>
      <c r="H381" s="102"/>
      <c r="I381" s="101"/>
      <c r="J381" s="101"/>
      <c r="K381" s="101">
        <v>400000</v>
      </c>
    </row>
    <row r="382" spans="2:11" ht="39.75" customHeight="1">
      <c r="B382" s="28"/>
      <c r="C382" s="89"/>
      <c r="D382" s="89"/>
      <c r="E382" s="90"/>
      <c r="F382" s="106"/>
      <c r="G382" s="80" t="s">
        <v>111</v>
      </c>
      <c r="H382" s="102"/>
      <c r="I382" s="101"/>
      <c r="J382" s="101"/>
      <c r="K382" s="101">
        <v>400000</v>
      </c>
    </row>
    <row r="383" spans="2:11" ht="39.75" customHeight="1">
      <c r="B383" s="28"/>
      <c r="C383" s="89"/>
      <c r="D383" s="89"/>
      <c r="E383" s="90"/>
      <c r="F383" s="106"/>
      <c r="G383" s="80" t="s">
        <v>112</v>
      </c>
      <c r="H383" s="102"/>
      <c r="I383" s="101"/>
      <c r="J383" s="101"/>
      <c r="K383" s="101">
        <f>400000+187882</f>
        <v>587882</v>
      </c>
    </row>
    <row r="384" spans="2:11" ht="39.75" customHeight="1">
      <c r="B384" s="28"/>
      <c r="C384" s="89"/>
      <c r="D384" s="89"/>
      <c r="E384" s="90"/>
      <c r="F384" s="106"/>
      <c r="G384" s="80" t="s">
        <v>113</v>
      </c>
      <c r="H384" s="102"/>
      <c r="I384" s="101"/>
      <c r="J384" s="101"/>
      <c r="K384" s="101">
        <f>400000-20000</f>
        <v>380000</v>
      </c>
    </row>
    <row r="385" spans="2:11" ht="78" customHeight="1">
      <c r="B385" s="28"/>
      <c r="C385" s="89" t="s">
        <v>101</v>
      </c>
      <c r="D385" s="89" t="s">
        <v>102</v>
      </c>
      <c r="E385" s="89" t="s">
        <v>434</v>
      </c>
      <c r="F385" s="106" t="s">
        <v>103</v>
      </c>
      <c r="G385" s="80" t="s">
        <v>516</v>
      </c>
      <c r="H385" s="102"/>
      <c r="I385" s="101"/>
      <c r="J385" s="101"/>
      <c r="K385" s="101">
        <v>650880</v>
      </c>
    </row>
    <row r="386" spans="2:11" ht="30" customHeight="1">
      <c r="B386" s="28"/>
      <c r="C386" s="89"/>
      <c r="D386" s="89"/>
      <c r="E386" s="90"/>
      <c r="F386" s="106"/>
      <c r="G386" s="80" t="s">
        <v>295</v>
      </c>
      <c r="H386" s="102"/>
      <c r="I386" s="101"/>
      <c r="J386" s="101"/>
      <c r="K386" s="101">
        <v>150202</v>
      </c>
    </row>
    <row r="387" spans="2:11" ht="30.75" customHeight="1">
      <c r="B387" s="28"/>
      <c r="C387" s="89"/>
      <c r="D387" s="89"/>
      <c r="E387" s="90"/>
      <c r="F387" s="106"/>
      <c r="G387" s="80" t="s">
        <v>517</v>
      </c>
      <c r="H387" s="102"/>
      <c r="I387" s="101"/>
      <c r="J387" s="101"/>
      <c r="K387" s="101">
        <v>149982</v>
      </c>
    </row>
    <row r="388" spans="2:11" ht="32.25" customHeight="1">
      <c r="B388" s="28"/>
      <c r="C388" s="89"/>
      <c r="D388" s="89"/>
      <c r="E388" s="90"/>
      <c r="F388" s="106"/>
      <c r="G388" s="80" t="s">
        <v>518</v>
      </c>
      <c r="H388" s="102"/>
      <c r="I388" s="101"/>
      <c r="J388" s="101"/>
      <c r="K388" s="101">
        <v>165134</v>
      </c>
    </row>
    <row r="389" spans="2:11" ht="33" customHeight="1">
      <c r="B389" s="28"/>
      <c r="C389" s="89"/>
      <c r="D389" s="89"/>
      <c r="E389" s="90"/>
      <c r="F389" s="106"/>
      <c r="G389" s="80" t="s">
        <v>430</v>
      </c>
      <c r="H389" s="102"/>
      <c r="I389" s="101"/>
      <c r="J389" s="101"/>
      <c r="K389" s="101">
        <v>185562</v>
      </c>
    </row>
    <row r="390" spans="2:11" ht="74.25" customHeight="1">
      <c r="B390" s="28"/>
      <c r="C390" s="89" t="s">
        <v>101</v>
      </c>
      <c r="D390" s="89" t="s">
        <v>102</v>
      </c>
      <c r="E390" s="89" t="s">
        <v>434</v>
      </c>
      <c r="F390" s="106" t="s">
        <v>103</v>
      </c>
      <c r="G390" s="80" t="s">
        <v>519</v>
      </c>
      <c r="H390" s="102"/>
      <c r="I390" s="101"/>
      <c r="J390" s="101"/>
      <c r="K390" s="101">
        <v>2489307</v>
      </c>
    </row>
    <row r="391" spans="2:11" ht="33.75" customHeight="1">
      <c r="B391" s="28"/>
      <c r="C391" s="89"/>
      <c r="D391" s="89"/>
      <c r="E391" s="90"/>
      <c r="F391" s="106"/>
      <c r="G391" s="80" t="s">
        <v>520</v>
      </c>
      <c r="H391" s="102"/>
      <c r="I391" s="101"/>
      <c r="J391" s="101"/>
      <c r="K391" s="101">
        <v>1469619</v>
      </c>
    </row>
    <row r="392" spans="2:11" ht="30" customHeight="1">
      <c r="B392" s="28"/>
      <c r="C392" s="89"/>
      <c r="D392" s="89"/>
      <c r="E392" s="90"/>
      <c r="F392" s="106"/>
      <c r="G392" s="80" t="s">
        <v>503</v>
      </c>
      <c r="H392" s="102"/>
      <c r="I392" s="101"/>
      <c r="J392" s="101"/>
      <c r="K392" s="101">
        <v>240688</v>
      </c>
    </row>
    <row r="393" spans="2:11" ht="30.75" customHeight="1">
      <c r="B393" s="28"/>
      <c r="C393" s="89"/>
      <c r="D393" s="89"/>
      <c r="E393" s="90"/>
      <c r="F393" s="106"/>
      <c r="G393" s="80" t="s">
        <v>521</v>
      </c>
      <c r="H393" s="102"/>
      <c r="I393" s="101"/>
      <c r="J393" s="101"/>
      <c r="K393" s="101">
        <v>180000</v>
      </c>
    </row>
    <row r="394" spans="2:11" ht="36" customHeight="1">
      <c r="B394" s="28"/>
      <c r="C394" s="89"/>
      <c r="D394" s="89"/>
      <c r="E394" s="90"/>
      <c r="F394" s="106"/>
      <c r="G394" s="80" t="s">
        <v>522</v>
      </c>
      <c r="H394" s="102"/>
      <c r="I394" s="101"/>
      <c r="J394" s="101"/>
      <c r="K394" s="101">
        <v>440000</v>
      </c>
    </row>
    <row r="395" spans="2:11" ht="33.75" customHeight="1">
      <c r="B395" s="28"/>
      <c r="C395" s="89"/>
      <c r="D395" s="89"/>
      <c r="E395" s="90"/>
      <c r="F395" s="106"/>
      <c r="G395" s="80" t="s">
        <v>523</v>
      </c>
      <c r="H395" s="102"/>
      <c r="I395" s="101"/>
      <c r="J395" s="101"/>
      <c r="K395" s="101">
        <v>36000</v>
      </c>
    </row>
    <row r="396" spans="2:11" ht="36.75" customHeight="1">
      <c r="B396" s="28"/>
      <c r="C396" s="89"/>
      <c r="D396" s="89"/>
      <c r="E396" s="90"/>
      <c r="F396" s="106"/>
      <c r="G396" s="80" t="s">
        <v>11</v>
      </c>
      <c r="H396" s="102"/>
      <c r="I396" s="101"/>
      <c r="J396" s="101"/>
      <c r="K396" s="101">
        <v>36000</v>
      </c>
    </row>
    <row r="397" spans="2:11" ht="39.75" customHeight="1">
      <c r="B397" s="28"/>
      <c r="C397" s="89"/>
      <c r="D397" s="89"/>
      <c r="E397" s="90"/>
      <c r="F397" s="106"/>
      <c r="G397" s="80" t="s">
        <v>524</v>
      </c>
      <c r="H397" s="102"/>
      <c r="I397" s="101"/>
      <c r="J397" s="101"/>
      <c r="K397" s="101">
        <v>36000</v>
      </c>
    </row>
    <row r="398" spans="2:11" ht="39.75" customHeight="1">
      <c r="B398" s="28"/>
      <c r="C398" s="89"/>
      <c r="D398" s="89"/>
      <c r="E398" s="90"/>
      <c r="F398" s="106"/>
      <c r="G398" s="80" t="s">
        <v>525</v>
      </c>
      <c r="H398" s="102"/>
      <c r="I398" s="101"/>
      <c r="J398" s="101"/>
      <c r="K398" s="101">
        <v>51000</v>
      </c>
    </row>
    <row r="399" spans="2:11" ht="73.5" customHeight="1">
      <c r="B399" s="28"/>
      <c r="C399" s="89" t="s">
        <v>101</v>
      </c>
      <c r="D399" s="89" t="s">
        <v>102</v>
      </c>
      <c r="E399" s="89" t="s">
        <v>434</v>
      </c>
      <c r="F399" s="106" t="s">
        <v>103</v>
      </c>
      <c r="G399" s="80" t="s">
        <v>114</v>
      </c>
      <c r="H399" s="102"/>
      <c r="I399" s="101"/>
      <c r="J399" s="101"/>
      <c r="K399" s="101">
        <f>180000-120077</f>
        <v>59923</v>
      </c>
    </row>
    <row r="400" spans="2:11" ht="129.75" customHeight="1">
      <c r="B400" s="28"/>
      <c r="C400" s="89" t="s">
        <v>101</v>
      </c>
      <c r="D400" s="89" t="s">
        <v>102</v>
      </c>
      <c r="E400" s="89" t="s">
        <v>434</v>
      </c>
      <c r="F400" s="106" t="s">
        <v>103</v>
      </c>
      <c r="G400" s="82" t="s">
        <v>137</v>
      </c>
      <c r="H400" s="102"/>
      <c r="I400" s="101"/>
      <c r="J400" s="101"/>
      <c r="K400" s="101">
        <f>1300000-17115</f>
        <v>1282885</v>
      </c>
    </row>
    <row r="401" spans="2:11" ht="69.75" customHeight="1">
      <c r="B401" s="28"/>
      <c r="C401" s="89" t="s">
        <v>101</v>
      </c>
      <c r="D401" s="89" t="s">
        <v>102</v>
      </c>
      <c r="E401" s="89" t="s">
        <v>434</v>
      </c>
      <c r="F401" s="106" t="s">
        <v>103</v>
      </c>
      <c r="G401" s="82" t="s">
        <v>526</v>
      </c>
      <c r="H401" s="102"/>
      <c r="I401" s="101"/>
      <c r="J401" s="101"/>
      <c r="K401" s="101">
        <v>710244</v>
      </c>
    </row>
    <row r="402" spans="2:11" ht="69.75" customHeight="1">
      <c r="B402" s="28"/>
      <c r="C402" s="89" t="s">
        <v>101</v>
      </c>
      <c r="D402" s="89" t="s">
        <v>102</v>
      </c>
      <c r="E402" s="89" t="s">
        <v>434</v>
      </c>
      <c r="F402" s="106" t="s">
        <v>103</v>
      </c>
      <c r="G402" s="82" t="s">
        <v>527</v>
      </c>
      <c r="H402" s="102"/>
      <c r="I402" s="101"/>
      <c r="J402" s="101"/>
      <c r="K402" s="101">
        <v>367845</v>
      </c>
    </row>
    <row r="403" spans="2:11" ht="69.75" customHeight="1">
      <c r="B403" s="28"/>
      <c r="C403" s="89" t="s">
        <v>101</v>
      </c>
      <c r="D403" s="89" t="s">
        <v>102</v>
      </c>
      <c r="E403" s="89" t="s">
        <v>434</v>
      </c>
      <c r="F403" s="106" t="s">
        <v>103</v>
      </c>
      <c r="G403" s="82" t="s">
        <v>528</v>
      </c>
      <c r="H403" s="102"/>
      <c r="I403" s="101"/>
      <c r="J403" s="101"/>
      <c r="K403" s="101">
        <v>725000</v>
      </c>
    </row>
    <row r="404" spans="2:11" ht="73.5" customHeight="1">
      <c r="B404" s="28"/>
      <c r="C404" s="89" t="s">
        <v>101</v>
      </c>
      <c r="D404" s="89" t="s">
        <v>102</v>
      </c>
      <c r="E404" s="89" t="s">
        <v>434</v>
      </c>
      <c r="F404" s="106" t="s">
        <v>103</v>
      </c>
      <c r="G404" s="82" t="s">
        <v>529</v>
      </c>
      <c r="H404" s="102"/>
      <c r="I404" s="101"/>
      <c r="J404" s="101"/>
      <c r="K404" s="101">
        <v>503000</v>
      </c>
    </row>
    <row r="405" spans="2:11" ht="74.25" customHeight="1">
      <c r="B405" s="28"/>
      <c r="C405" s="89" t="s">
        <v>101</v>
      </c>
      <c r="D405" s="89" t="s">
        <v>102</v>
      </c>
      <c r="E405" s="89" t="s">
        <v>434</v>
      </c>
      <c r="F405" s="106" t="s">
        <v>103</v>
      </c>
      <c r="G405" s="82" t="s">
        <v>530</v>
      </c>
      <c r="H405" s="102"/>
      <c r="I405" s="101"/>
      <c r="J405" s="101"/>
      <c r="K405" s="101">
        <v>251000</v>
      </c>
    </row>
    <row r="406" spans="2:11" ht="73.5" customHeight="1">
      <c r="B406" s="28"/>
      <c r="C406" s="89" t="s">
        <v>101</v>
      </c>
      <c r="D406" s="89" t="s">
        <v>102</v>
      </c>
      <c r="E406" s="89" t="s">
        <v>434</v>
      </c>
      <c r="F406" s="106" t="s">
        <v>103</v>
      </c>
      <c r="G406" s="80" t="s">
        <v>139</v>
      </c>
      <c r="H406" s="102"/>
      <c r="I406" s="101"/>
      <c r="J406" s="101"/>
      <c r="K406" s="101">
        <f>21000000-2325223</f>
        <v>18674777</v>
      </c>
    </row>
    <row r="407" spans="2:11" ht="39.75" customHeight="1">
      <c r="B407" s="28"/>
      <c r="C407" s="144" t="s">
        <v>395</v>
      </c>
      <c r="D407" s="144"/>
      <c r="E407" s="145"/>
      <c r="F407" s="146" t="s">
        <v>186</v>
      </c>
      <c r="G407" s="147"/>
      <c r="H407" s="102"/>
      <c r="I407" s="101"/>
      <c r="J407" s="101"/>
      <c r="K407" s="102">
        <f>SUM(K408:K411,K453:K467)</f>
        <v>16661842</v>
      </c>
    </row>
    <row r="408" spans="2:11" ht="78" customHeight="1">
      <c r="B408" s="28"/>
      <c r="C408" s="89" t="s">
        <v>115</v>
      </c>
      <c r="D408" s="89" t="s">
        <v>102</v>
      </c>
      <c r="E408" s="90" t="s">
        <v>434</v>
      </c>
      <c r="F408" s="106" t="s">
        <v>103</v>
      </c>
      <c r="G408" s="80" t="s">
        <v>116</v>
      </c>
      <c r="H408" s="102"/>
      <c r="I408" s="101"/>
      <c r="J408" s="101"/>
      <c r="K408" s="101">
        <f>1498000-1038000+50000</f>
        <v>510000</v>
      </c>
    </row>
    <row r="409" spans="2:11" ht="73.5" customHeight="1">
      <c r="B409" s="28"/>
      <c r="C409" s="89" t="s">
        <v>115</v>
      </c>
      <c r="D409" s="89" t="s">
        <v>102</v>
      </c>
      <c r="E409" s="90" t="s">
        <v>434</v>
      </c>
      <c r="F409" s="106" t="s">
        <v>103</v>
      </c>
      <c r="G409" s="80" t="s">
        <v>117</v>
      </c>
      <c r="H409" s="102"/>
      <c r="I409" s="101"/>
      <c r="J409" s="101"/>
      <c r="K409" s="101">
        <f>977000-88058</f>
        <v>888942</v>
      </c>
    </row>
    <row r="410" spans="2:11" ht="73.5" customHeight="1">
      <c r="B410" s="28"/>
      <c r="C410" s="89" t="s">
        <v>115</v>
      </c>
      <c r="D410" s="89" t="s">
        <v>102</v>
      </c>
      <c r="E410" s="90" t="s">
        <v>434</v>
      </c>
      <c r="F410" s="106" t="s">
        <v>103</v>
      </c>
      <c r="G410" s="80" t="s">
        <v>118</v>
      </c>
      <c r="H410" s="102"/>
      <c r="I410" s="101"/>
      <c r="J410" s="101"/>
      <c r="K410" s="101">
        <f>400000-22635</f>
        <v>377365</v>
      </c>
    </row>
    <row r="411" spans="2:11" ht="75.75" customHeight="1">
      <c r="B411" s="28"/>
      <c r="C411" s="89" t="s">
        <v>115</v>
      </c>
      <c r="D411" s="89" t="s">
        <v>102</v>
      </c>
      <c r="E411" s="90" t="s">
        <v>434</v>
      </c>
      <c r="F411" s="106" t="s">
        <v>103</v>
      </c>
      <c r="G411" s="131" t="s">
        <v>119</v>
      </c>
      <c r="H411" s="102"/>
      <c r="I411" s="102"/>
      <c r="J411" s="102"/>
      <c r="K411" s="102">
        <f>5000000+830742</f>
        <v>5830742</v>
      </c>
    </row>
    <row r="412" spans="2:11" ht="30.75" customHeight="1">
      <c r="B412" s="28"/>
      <c r="C412" s="89"/>
      <c r="D412" s="89"/>
      <c r="E412" s="90"/>
      <c r="F412" s="106"/>
      <c r="G412" s="80" t="s">
        <v>478</v>
      </c>
      <c r="H412" s="102"/>
      <c r="I412" s="102"/>
      <c r="J412" s="102"/>
      <c r="K412" s="101">
        <f>125000-1335</f>
        <v>123665</v>
      </c>
    </row>
    <row r="413" spans="2:11" ht="30.75" customHeight="1">
      <c r="B413" s="28"/>
      <c r="C413" s="89"/>
      <c r="D413" s="89"/>
      <c r="E413" s="90"/>
      <c r="F413" s="106"/>
      <c r="G413" s="80" t="s">
        <v>479</v>
      </c>
      <c r="H413" s="102"/>
      <c r="I413" s="102"/>
      <c r="J413" s="102"/>
      <c r="K413" s="101">
        <f>124719-2242</f>
        <v>122477</v>
      </c>
    </row>
    <row r="414" spans="2:11" ht="30.75" customHeight="1">
      <c r="B414" s="28"/>
      <c r="C414" s="89"/>
      <c r="D414" s="89"/>
      <c r="E414" s="90"/>
      <c r="F414" s="106"/>
      <c r="G414" s="80" t="s">
        <v>480</v>
      </c>
      <c r="H414" s="102"/>
      <c r="I414" s="102"/>
      <c r="J414" s="102"/>
      <c r="K414" s="101">
        <f>131258-393</f>
        <v>130865</v>
      </c>
    </row>
    <row r="415" spans="2:11" ht="30.75" customHeight="1">
      <c r="B415" s="28"/>
      <c r="C415" s="89"/>
      <c r="D415" s="89"/>
      <c r="E415" s="90"/>
      <c r="F415" s="106"/>
      <c r="G415" s="80" t="s">
        <v>1</v>
      </c>
      <c r="H415" s="102"/>
      <c r="I415" s="102"/>
      <c r="J415" s="102"/>
      <c r="K415" s="101">
        <v>124630</v>
      </c>
    </row>
    <row r="416" spans="2:11" ht="30.75" customHeight="1">
      <c r="B416" s="28"/>
      <c r="C416" s="89"/>
      <c r="D416" s="89"/>
      <c r="E416" s="90"/>
      <c r="F416" s="106"/>
      <c r="G416" s="80" t="s">
        <v>481</v>
      </c>
      <c r="H416" s="102"/>
      <c r="I416" s="102"/>
      <c r="J416" s="102"/>
      <c r="K416" s="101">
        <f>144322-5963</f>
        <v>138359</v>
      </c>
    </row>
    <row r="417" spans="2:11" ht="30.75" customHeight="1">
      <c r="B417" s="28"/>
      <c r="C417" s="89"/>
      <c r="D417" s="89"/>
      <c r="E417" s="90"/>
      <c r="F417" s="106"/>
      <c r="G417" s="80" t="s">
        <v>482</v>
      </c>
      <c r="H417" s="102"/>
      <c r="I417" s="102"/>
      <c r="J417" s="102"/>
      <c r="K417" s="101">
        <f>106617-708</f>
        <v>105909</v>
      </c>
    </row>
    <row r="418" spans="2:11" ht="30.75" customHeight="1">
      <c r="B418" s="28"/>
      <c r="C418" s="89"/>
      <c r="D418" s="89"/>
      <c r="E418" s="90"/>
      <c r="F418" s="106"/>
      <c r="G418" s="80" t="s">
        <v>132</v>
      </c>
      <c r="H418" s="102"/>
      <c r="I418" s="102"/>
      <c r="J418" s="102"/>
      <c r="K418" s="101">
        <f>161911-1090</f>
        <v>160821</v>
      </c>
    </row>
    <row r="419" spans="2:11" ht="30.75" customHeight="1">
      <c r="B419" s="28"/>
      <c r="C419" s="89"/>
      <c r="D419" s="89"/>
      <c r="E419" s="90"/>
      <c r="F419" s="106"/>
      <c r="G419" s="80" t="s">
        <v>483</v>
      </c>
      <c r="H419" s="102"/>
      <c r="I419" s="102"/>
      <c r="J419" s="102"/>
      <c r="K419" s="101">
        <f>144104-273</f>
        <v>143831</v>
      </c>
    </row>
    <row r="420" spans="2:11" ht="30.75" customHeight="1">
      <c r="B420" s="28"/>
      <c r="C420" s="89"/>
      <c r="D420" s="89"/>
      <c r="E420" s="90"/>
      <c r="F420" s="106"/>
      <c r="G420" s="80" t="s">
        <v>484</v>
      </c>
      <c r="H420" s="102"/>
      <c r="I420" s="102"/>
      <c r="J420" s="102"/>
      <c r="K420" s="101">
        <v>122304</v>
      </c>
    </row>
    <row r="421" spans="2:11" ht="30.75" customHeight="1">
      <c r="B421" s="28"/>
      <c r="C421" s="89"/>
      <c r="D421" s="89"/>
      <c r="E421" s="90"/>
      <c r="F421" s="106"/>
      <c r="G421" s="80" t="s">
        <v>485</v>
      </c>
      <c r="H421" s="102"/>
      <c r="I421" s="102"/>
      <c r="J421" s="102"/>
      <c r="K421" s="101">
        <f>114634-1014</f>
        <v>113620</v>
      </c>
    </row>
    <row r="422" spans="2:11" ht="30.75" customHeight="1">
      <c r="B422" s="28"/>
      <c r="C422" s="89"/>
      <c r="D422" s="89"/>
      <c r="E422" s="90"/>
      <c r="F422" s="106"/>
      <c r="G422" s="80" t="s">
        <v>486</v>
      </c>
      <c r="H422" s="102"/>
      <c r="I422" s="102"/>
      <c r="J422" s="102"/>
      <c r="K422" s="101">
        <v>164404</v>
      </c>
    </row>
    <row r="423" spans="2:11" ht="30.75" customHeight="1">
      <c r="B423" s="28"/>
      <c r="C423" s="89"/>
      <c r="D423" s="89"/>
      <c r="E423" s="90"/>
      <c r="F423" s="106"/>
      <c r="G423" s="80" t="s">
        <v>487</v>
      </c>
      <c r="H423" s="102"/>
      <c r="I423" s="102"/>
      <c r="J423" s="102"/>
      <c r="K423" s="101">
        <f>138668-4024</f>
        <v>134644</v>
      </c>
    </row>
    <row r="424" spans="2:11" ht="30.75" customHeight="1">
      <c r="B424" s="28"/>
      <c r="C424" s="89"/>
      <c r="D424" s="89"/>
      <c r="E424" s="90"/>
      <c r="F424" s="106"/>
      <c r="G424" s="80" t="s">
        <v>488</v>
      </c>
      <c r="H424" s="102"/>
      <c r="I424" s="102"/>
      <c r="J424" s="102"/>
      <c r="K424" s="101">
        <f>188143-8264</f>
        <v>179879</v>
      </c>
    </row>
    <row r="425" spans="2:11" ht="30.75" customHeight="1">
      <c r="B425" s="28"/>
      <c r="C425" s="89"/>
      <c r="D425" s="89"/>
      <c r="E425" s="90"/>
      <c r="F425" s="106"/>
      <c r="G425" s="80" t="s">
        <v>489</v>
      </c>
      <c r="H425" s="102"/>
      <c r="I425" s="102"/>
      <c r="J425" s="102"/>
      <c r="K425" s="101">
        <f>166507-3456</f>
        <v>163051</v>
      </c>
    </row>
    <row r="426" spans="2:11" ht="30.75" customHeight="1">
      <c r="B426" s="28"/>
      <c r="C426" s="89"/>
      <c r="D426" s="89"/>
      <c r="E426" s="90"/>
      <c r="F426" s="106"/>
      <c r="G426" s="80" t="s">
        <v>490</v>
      </c>
      <c r="H426" s="102"/>
      <c r="I426" s="102"/>
      <c r="J426" s="102"/>
      <c r="K426" s="101">
        <f>122768-3539</f>
        <v>119229</v>
      </c>
    </row>
    <row r="427" spans="2:11" ht="30.75" customHeight="1">
      <c r="B427" s="28"/>
      <c r="C427" s="89"/>
      <c r="D427" s="89"/>
      <c r="E427" s="90"/>
      <c r="F427" s="106"/>
      <c r="G427" s="80" t="s">
        <v>3</v>
      </c>
      <c r="H427" s="102"/>
      <c r="I427" s="102"/>
      <c r="J427" s="102"/>
      <c r="K427" s="101">
        <f>162068-2165</f>
        <v>159903</v>
      </c>
    </row>
    <row r="428" spans="2:11" ht="30.75" customHeight="1">
      <c r="B428" s="28"/>
      <c r="C428" s="89"/>
      <c r="D428" s="89"/>
      <c r="E428" s="90"/>
      <c r="F428" s="106"/>
      <c r="G428" s="80" t="s">
        <v>4</v>
      </c>
      <c r="H428" s="102"/>
      <c r="I428" s="102"/>
      <c r="J428" s="102"/>
      <c r="K428" s="101">
        <f>175000-3485</f>
        <v>171515</v>
      </c>
    </row>
    <row r="429" spans="2:11" ht="30.75" customHeight="1">
      <c r="B429" s="28"/>
      <c r="C429" s="89"/>
      <c r="D429" s="89"/>
      <c r="E429" s="90"/>
      <c r="F429" s="106"/>
      <c r="G429" s="80" t="s">
        <v>5</v>
      </c>
      <c r="H429" s="102"/>
      <c r="I429" s="102"/>
      <c r="J429" s="102"/>
      <c r="K429" s="101">
        <f>164000-1724</f>
        <v>162276</v>
      </c>
    </row>
    <row r="430" spans="2:11" ht="30.75" customHeight="1">
      <c r="B430" s="28"/>
      <c r="C430" s="89"/>
      <c r="D430" s="89"/>
      <c r="E430" s="90"/>
      <c r="F430" s="106"/>
      <c r="G430" s="80" t="s">
        <v>6</v>
      </c>
      <c r="H430" s="102"/>
      <c r="I430" s="102"/>
      <c r="J430" s="102"/>
      <c r="K430" s="101">
        <f>166000-2928</f>
        <v>163072</v>
      </c>
    </row>
    <row r="431" spans="2:11" ht="30.75" customHeight="1">
      <c r="B431" s="28"/>
      <c r="C431" s="89"/>
      <c r="D431" s="89"/>
      <c r="E431" s="90"/>
      <c r="F431" s="106"/>
      <c r="G431" s="80" t="s">
        <v>7</v>
      </c>
      <c r="H431" s="102"/>
      <c r="I431" s="102"/>
      <c r="J431" s="102"/>
      <c r="K431" s="101">
        <f>166000-23556</f>
        <v>142444</v>
      </c>
    </row>
    <row r="432" spans="2:11" ht="30.75" customHeight="1">
      <c r="B432" s="28"/>
      <c r="C432" s="89"/>
      <c r="D432" s="89"/>
      <c r="E432" s="90"/>
      <c r="F432" s="106"/>
      <c r="G432" s="80" t="s">
        <v>491</v>
      </c>
      <c r="H432" s="102"/>
      <c r="I432" s="102"/>
      <c r="J432" s="102"/>
      <c r="K432" s="101">
        <v>107584</v>
      </c>
    </row>
    <row r="433" spans="2:11" ht="30.75" customHeight="1">
      <c r="B433" s="28"/>
      <c r="C433" s="89"/>
      <c r="D433" s="89"/>
      <c r="E433" s="90"/>
      <c r="F433" s="106"/>
      <c r="G433" s="80" t="s">
        <v>492</v>
      </c>
      <c r="H433" s="102"/>
      <c r="I433" s="102"/>
      <c r="J433" s="102"/>
      <c r="K433" s="101">
        <f>134867-3647</f>
        <v>131220</v>
      </c>
    </row>
    <row r="434" spans="2:11" ht="30.75" customHeight="1">
      <c r="B434" s="28"/>
      <c r="C434" s="89"/>
      <c r="D434" s="89"/>
      <c r="E434" s="90"/>
      <c r="F434" s="106"/>
      <c r="G434" s="80" t="s">
        <v>493</v>
      </c>
      <c r="H434" s="102"/>
      <c r="I434" s="102"/>
      <c r="J434" s="102"/>
      <c r="K434" s="101">
        <f>162784-2052</f>
        <v>160732</v>
      </c>
    </row>
    <row r="435" spans="2:11" ht="30.75" customHeight="1">
      <c r="B435" s="28"/>
      <c r="C435" s="89"/>
      <c r="D435" s="89"/>
      <c r="E435" s="90"/>
      <c r="F435" s="106"/>
      <c r="G435" s="80" t="s">
        <v>494</v>
      </c>
      <c r="H435" s="102"/>
      <c r="I435" s="102"/>
      <c r="J435" s="102"/>
      <c r="K435" s="101">
        <f>169484-3700</f>
        <v>165784</v>
      </c>
    </row>
    <row r="436" spans="2:11" ht="30.75" customHeight="1">
      <c r="B436" s="28"/>
      <c r="C436" s="89"/>
      <c r="D436" s="89"/>
      <c r="E436" s="90"/>
      <c r="F436" s="106"/>
      <c r="G436" s="80" t="s">
        <v>495</v>
      </c>
      <c r="H436" s="102"/>
      <c r="I436" s="102"/>
      <c r="J436" s="102"/>
      <c r="K436" s="101">
        <f>166293-4016</f>
        <v>162277</v>
      </c>
    </row>
    <row r="437" spans="2:11" ht="30.75" customHeight="1">
      <c r="B437" s="28"/>
      <c r="C437" s="89"/>
      <c r="D437" s="89"/>
      <c r="E437" s="90"/>
      <c r="F437" s="106"/>
      <c r="G437" s="80" t="s">
        <v>8</v>
      </c>
      <c r="H437" s="102"/>
      <c r="I437" s="102"/>
      <c r="J437" s="102"/>
      <c r="K437" s="101">
        <f>163690-1198</f>
        <v>162492</v>
      </c>
    </row>
    <row r="438" spans="2:11" ht="30.75" customHeight="1">
      <c r="B438" s="28"/>
      <c r="C438" s="89"/>
      <c r="D438" s="89"/>
      <c r="E438" s="90"/>
      <c r="F438" s="106"/>
      <c r="G438" s="80" t="s">
        <v>496</v>
      </c>
      <c r="H438" s="102"/>
      <c r="I438" s="102"/>
      <c r="J438" s="102"/>
      <c r="K438" s="101">
        <f>184365-3371</f>
        <v>180994</v>
      </c>
    </row>
    <row r="439" spans="2:11" ht="30.75" customHeight="1">
      <c r="B439" s="28"/>
      <c r="C439" s="89"/>
      <c r="D439" s="89"/>
      <c r="E439" s="90"/>
      <c r="F439" s="106"/>
      <c r="G439" s="80" t="s">
        <v>531</v>
      </c>
      <c r="H439" s="102"/>
      <c r="I439" s="102"/>
      <c r="J439" s="102"/>
      <c r="K439" s="101">
        <v>119749</v>
      </c>
    </row>
    <row r="440" spans="2:11" ht="30.75" customHeight="1">
      <c r="B440" s="28"/>
      <c r="C440" s="89"/>
      <c r="D440" s="89"/>
      <c r="E440" s="90"/>
      <c r="F440" s="106"/>
      <c r="G440" s="80" t="s">
        <v>499</v>
      </c>
      <c r="H440" s="102"/>
      <c r="I440" s="102"/>
      <c r="J440" s="102"/>
      <c r="K440" s="101">
        <f>154552-4290</f>
        <v>150262</v>
      </c>
    </row>
    <row r="441" spans="2:11" ht="30.75" customHeight="1">
      <c r="B441" s="28"/>
      <c r="C441" s="89"/>
      <c r="D441" s="89"/>
      <c r="E441" s="90"/>
      <c r="F441" s="106"/>
      <c r="G441" s="80" t="s">
        <v>500</v>
      </c>
      <c r="H441" s="102"/>
      <c r="I441" s="102"/>
      <c r="J441" s="102"/>
      <c r="K441" s="101">
        <v>123163</v>
      </c>
    </row>
    <row r="442" spans="2:11" ht="30.75" customHeight="1">
      <c r="B442" s="28"/>
      <c r="C442" s="89"/>
      <c r="D442" s="89"/>
      <c r="E442" s="90"/>
      <c r="F442" s="106"/>
      <c r="G442" s="80" t="s">
        <v>498</v>
      </c>
      <c r="H442" s="102"/>
      <c r="I442" s="102"/>
      <c r="J442" s="102"/>
      <c r="K442" s="101">
        <v>120618</v>
      </c>
    </row>
    <row r="443" spans="2:11" ht="30.75" customHeight="1">
      <c r="B443" s="28"/>
      <c r="C443" s="89"/>
      <c r="D443" s="89"/>
      <c r="E443" s="90"/>
      <c r="F443" s="106"/>
      <c r="G443" s="80" t="s">
        <v>501</v>
      </c>
      <c r="H443" s="102"/>
      <c r="I443" s="102"/>
      <c r="J443" s="102"/>
      <c r="K443" s="101">
        <f>103522-1886</f>
        <v>101636</v>
      </c>
    </row>
    <row r="444" spans="2:11" ht="30.75" customHeight="1">
      <c r="B444" s="28"/>
      <c r="C444" s="89"/>
      <c r="D444" s="89"/>
      <c r="E444" s="90"/>
      <c r="F444" s="106"/>
      <c r="G444" s="80" t="s">
        <v>502</v>
      </c>
      <c r="H444" s="102"/>
      <c r="I444" s="102"/>
      <c r="J444" s="102"/>
      <c r="K444" s="101">
        <f>126460-6545</f>
        <v>119915</v>
      </c>
    </row>
    <row r="445" spans="2:11" ht="30.75" customHeight="1">
      <c r="B445" s="28"/>
      <c r="C445" s="89"/>
      <c r="D445" s="89"/>
      <c r="E445" s="90"/>
      <c r="F445" s="106"/>
      <c r="G445" s="80" t="s">
        <v>10</v>
      </c>
      <c r="H445" s="102"/>
      <c r="I445" s="102"/>
      <c r="J445" s="102"/>
      <c r="K445" s="101">
        <v>161797</v>
      </c>
    </row>
    <row r="446" spans="2:11" ht="30.75" customHeight="1">
      <c r="B446" s="28"/>
      <c r="C446" s="89"/>
      <c r="D446" s="89"/>
      <c r="E446" s="90"/>
      <c r="F446" s="106"/>
      <c r="G446" s="80" t="s">
        <v>503</v>
      </c>
      <c r="H446" s="102"/>
      <c r="I446" s="102"/>
      <c r="J446" s="102"/>
      <c r="K446" s="101">
        <f>142484-900</f>
        <v>141584</v>
      </c>
    </row>
    <row r="447" spans="2:11" ht="30.75" customHeight="1">
      <c r="B447" s="28"/>
      <c r="C447" s="89"/>
      <c r="D447" s="89"/>
      <c r="E447" s="90"/>
      <c r="F447" s="106"/>
      <c r="G447" s="80" t="s">
        <v>504</v>
      </c>
      <c r="H447" s="102"/>
      <c r="I447" s="102"/>
      <c r="J447" s="102"/>
      <c r="K447" s="101">
        <f>147662-2439</f>
        <v>145223</v>
      </c>
    </row>
    <row r="448" spans="2:11" ht="30.75" customHeight="1">
      <c r="B448" s="28"/>
      <c r="C448" s="89"/>
      <c r="D448" s="89"/>
      <c r="E448" s="90"/>
      <c r="F448" s="106"/>
      <c r="G448" s="80" t="s">
        <v>505</v>
      </c>
      <c r="H448" s="102"/>
      <c r="I448" s="102"/>
      <c r="J448" s="102"/>
      <c r="K448" s="101">
        <f>124728-3106</f>
        <v>121622</v>
      </c>
    </row>
    <row r="449" spans="2:11" ht="30.75" customHeight="1">
      <c r="B449" s="28"/>
      <c r="C449" s="89"/>
      <c r="D449" s="89"/>
      <c r="E449" s="90"/>
      <c r="F449" s="106"/>
      <c r="G449" s="80" t="s">
        <v>506</v>
      </c>
      <c r="H449" s="102"/>
      <c r="I449" s="102"/>
      <c r="J449" s="102"/>
      <c r="K449" s="101">
        <v>135913</v>
      </c>
    </row>
    <row r="450" spans="2:11" ht="30.75" customHeight="1">
      <c r="B450" s="28"/>
      <c r="C450" s="89"/>
      <c r="D450" s="89"/>
      <c r="E450" s="90"/>
      <c r="F450" s="106"/>
      <c r="G450" s="80" t="s">
        <v>9</v>
      </c>
      <c r="H450" s="102"/>
      <c r="I450" s="102"/>
      <c r="J450" s="102"/>
      <c r="K450" s="101">
        <f>161000-592</f>
        <v>160408</v>
      </c>
    </row>
    <row r="451" spans="2:11" ht="30.75" customHeight="1">
      <c r="B451" s="28"/>
      <c r="C451" s="89"/>
      <c r="D451" s="89"/>
      <c r="E451" s="90"/>
      <c r="F451" s="106"/>
      <c r="G451" s="80" t="s">
        <v>30</v>
      </c>
      <c r="H451" s="102"/>
      <c r="I451" s="102"/>
      <c r="J451" s="102"/>
      <c r="K451" s="101">
        <v>137086</v>
      </c>
    </row>
    <row r="452" spans="2:11" ht="30" customHeight="1">
      <c r="B452" s="28"/>
      <c r="C452" s="89"/>
      <c r="D452" s="89"/>
      <c r="E452" s="90"/>
      <c r="F452" s="106"/>
      <c r="G452" s="80" t="s">
        <v>133</v>
      </c>
      <c r="H452" s="102"/>
      <c r="I452" s="102"/>
      <c r="J452" s="102"/>
      <c r="K452" s="101">
        <f>175010-1225</f>
        <v>173785</v>
      </c>
    </row>
    <row r="453" spans="2:11" ht="76.5" customHeight="1">
      <c r="B453" s="28"/>
      <c r="C453" s="89" t="s">
        <v>115</v>
      </c>
      <c r="D453" s="89" t="s">
        <v>102</v>
      </c>
      <c r="E453" s="90" t="s">
        <v>434</v>
      </c>
      <c r="F453" s="106" t="s">
        <v>103</v>
      </c>
      <c r="G453" s="80" t="s">
        <v>120</v>
      </c>
      <c r="H453" s="102"/>
      <c r="I453" s="101"/>
      <c r="J453" s="101"/>
      <c r="K453" s="101">
        <v>790000</v>
      </c>
    </row>
    <row r="454" spans="2:11" ht="71.25" customHeight="1">
      <c r="B454" s="28"/>
      <c r="C454" s="89" t="s">
        <v>115</v>
      </c>
      <c r="D454" s="89" t="s">
        <v>102</v>
      </c>
      <c r="E454" s="90" t="s">
        <v>434</v>
      </c>
      <c r="F454" s="106" t="s">
        <v>103</v>
      </c>
      <c r="G454" s="80" t="s">
        <v>127</v>
      </c>
      <c r="H454" s="102"/>
      <c r="I454" s="101"/>
      <c r="J454" s="101"/>
      <c r="K454" s="101">
        <v>600000</v>
      </c>
    </row>
    <row r="455" spans="2:11" ht="74.25" customHeight="1">
      <c r="B455" s="28"/>
      <c r="C455" s="89" t="s">
        <v>115</v>
      </c>
      <c r="D455" s="89" t="s">
        <v>102</v>
      </c>
      <c r="E455" s="90" t="s">
        <v>434</v>
      </c>
      <c r="F455" s="106" t="s">
        <v>103</v>
      </c>
      <c r="G455" s="80" t="s">
        <v>144</v>
      </c>
      <c r="H455" s="102"/>
      <c r="I455" s="101"/>
      <c r="J455" s="101"/>
      <c r="K455" s="101">
        <f>199000+1931-101931-11713</f>
        <v>87287</v>
      </c>
    </row>
    <row r="456" spans="2:11" ht="74.25" customHeight="1">
      <c r="B456" s="28"/>
      <c r="C456" s="89" t="s">
        <v>115</v>
      </c>
      <c r="D456" s="89" t="s">
        <v>102</v>
      </c>
      <c r="E456" s="90" t="s">
        <v>434</v>
      </c>
      <c r="F456" s="106" t="s">
        <v>103</v>
      </c>
      <c r="G456" s="80" t="s">
        <v>532</v>
      </c>
      <c r="H456" s="102"/>
      <c r="I456" s="101"/>
      <c r="J456" s="101"/>
      <c r="K456" s="101">
        <v>1068000</v>
      </c>
    </row>
    <row r="457" spans="2:11" ht="75.75" customHeight="1">
      <c r="B457" s="28"/>
      <c r="C457" s="89" t="s">
        <v>115</v>
      </c>
      <c r="D457" s="89" t="s">
        <v>102</v>
      </c>
      <c r="E457" s="90" t="s">
        <v>434</v>
      </c>
      <c r="F457" s="106" t="s">
        <v>103</v>
      </c>
      <c r="G457" s="80" t="s">
        <v>128</v>
      </c>
      <c r="H457" s="102"/>
      <c r="I457" s="101"/>
      <c r="J457" s="101"/>
      <c r="K457" s="101">
        <f>500000+453882</f>
        <v>953882</v>
      </c>
    </row>
    <row r="458" spans="2:11" ht="78" customHeight="1">
      <c r="B458" s="28"/>
      <c r="C458" s="89" t="s">
        <v>115</v>
      </c>
      <c r="D458" s="89" t="s">
        <v>102</v>
      </c>
      <c r="E458" s="90" t="s">
        <v>434</v>
      </c>
      <c r="F458" s="106" t="s">
        <v>103</v>
      </c>
      <c r="G458" s="80" t="s">
        <v>129</v>
      </c>
      <c r="H458" s="102"/>
      <c r="I458" s="101"/>
      <c r="J458" s="101"/>
      <c r="K458" s="101">
        <v>120000</v>
      </c>
    </row>
    <row r="459" spans="2:11" ht="78" customHeight="1">
      <c r="B459" s="28"/>
      <c r="C459" s="89" t="s">
        <v>115</v>
      </c>
      <c r="D459" s="89" t="s">
        <v>102</v>
      </c>
      <c r="E459" s="90" t="s">
        <v>434</v>
      </c>
      <c r="F459" s="106" t="s">
        <v>103</v>
      </c>
      <c r="G459" s="80" t="s">
        <v>533</v>
      </c>
      <c r="H459" s="102"/>
      <c r="I459" s="101"/>
      <c r="J459" s="101"/>
      <c r="K459" s="101">
        <v>300000</v>
      </c>
    </row>
    <row r="460" spans="2:11" ht="66.75" customHeight="1">
      <c r="B460" s="28"/>
      <c r="C460" s="89" t="s">
        <v>115</v>
      </c>
      <c r="D460" s="89" t="s">
        <v>102</v>
      </c>
      <c r="E460" s="90" t="s">
        <v>434</v>
      </c>
      <c r="F460" s="106" t="s">
        <v>103</v>
      </c>
      <c r="G460" s="19" t="s">
        <v>130</v>
      </c>
      <c r="H460" s="102"/>
      <c r="I460" s="101"/>
      <c r="J460" s="101"/>
      <c r="K460" s="101">
        <f>1498000-28000</f>
        <v>1470000</v>
      </c>
    </row>
    <row r="461" spans="2:11" ht="76.5" customHeight="1">
      <c r="B461" s="28"/>
      <c r="C461" s="89" t="s">
        <v>115</v>
      </c>
      <c r="D461" s="89" t="s">
        <v>102</v>
      </c>
      <c r="E461" s="90" t="s">
        <v>434</v>
      </c>
      <c r="F461" s="106" t="s">
        <v>103</v>
      </c>
      <c r="G461" s="19" t="s">
        <v>179</v>
      </c>
      <c r="H461" s="102"/>
      <c r="I461" s="101"/>
      <c r="J461" s="101"/>
      <c r="K461" s="101">
        <f>240624+250000</f>
        <v>490624</v>
      </c>
    </row>
    <row r="462" spans="2:11" ht="76.5" customHeight="1">
      <c r="B462" s="28"/>
      <c r="C462" s="89" t="s">
        <v>115</v>
      </c>
      <c r="D462" s="89" t="s">
        <v>102</v>
      </c>
      <c r="E462" s="90" t="s">
        <v>434</v>
      </c>
      <c r="F462" s="106" t="s">
        <v>103</v>
      </c>
      <c r="G462" s="19" t="s">
        <v>534</v>
      </c>
      <c r="H462" s="102"/>
      <c r="I462" s="101"/>
      <c r="J462" s="101"/>
      <c r="K462" s="101">
        <v>455000</v>
      </c>
    </row>
    <row r="463" spans="2:11" ht="66.75" customHeight="1">
      <c r="B463" s="28"/>
      <c r="C463" s="89" t="s">
        <v>115</v>
      </c>
      <c r="D463" s="89" t="s">
        <v>102</v>
      </c>
      <c r="E463" s="90" t="s">
        <v>434</v>
      </c>
      <c r="F463" s="106" t="s">
        <v>103</v>
      </c>
      <c r="G463" s="80" t="s">
        <v>262</v>
      </c>
      <c r="H463" s="102"/>
      <c r="I463" s="101"/>
      <c r="J463" s="101"/>
      <c r="K463" s="101">
        <f>1000000-30000-50000</f>
        <v>920000</v>
      </c>
    </row>
    <row r="464" spans="2:11" ht="73.5" customHeight="1">
      <c r="B464" s="28"/>
      <c r="C464" s="89" t="s">
        <v>115</v>
      </c>
      <c r="D464" s="89" t="s">
        <v>102</v>
      </c>
      <c r="E464" s="90" t="s">
        <v>434</v>
      </c>
      <c r="F464" s="106" t="s">
        <v>103</v>
      </c>
      <c r="G464" s="80" t="s">
        <v>535</v>
      </c>
      <c r="H464" s="102"/>
      <c r="I464" s="101"/>
      <c r="J464" s="101"/>
      <c r="K464" s="101">
        <v>1000000</v>
      </c>
    </row>
    <row r="465" spans="2:11" ht="66.75" customHeight="1">
      <c r="B465" s="28"/>
      <c r="C465" s="89" t="s">
        <v>115</v>
      </c>
      <c r="D465" s="89" t="s">
        <v>102</v>
      </c>
      <c r="E465" s="90" t="s">
        <v>434</v>
      </c>
      <c r="F465" s="106" t="s">
        <v>103</v>
      </c>
      <c r="G465" s="80" t="s">
        <v>536</v>
      </c>
      <c r="H465" s="102"/>
      <c r="I465" s="101"/>
      <c r="J465" s="101"/>
      <c r="K465" s="101">
        <v>600000</v>
      </c>
    </row>
    <row r="466" spans="2:11" ht="73.5" customHeight="1">
      <c r="B466" s="28"/>
      <c r="C466" s="89" t="s">
        <v>115</v>
      </c>
      <c r="D466" s="89" t="s">
        <v>102</v>
      </c>
      <c r="E466" s="90" t="s">
        <v>434</v>
      </c>
      <c r="F466" s="106" t="s">
        <v>103</v>
      </c>
      <c r="G466" s="80" t="s">
        <v>537</v>
      </c>
      <c r="H466" s="102"/>
      <c r="I466" s="101"/>
      <c r="J466" s="101"/>
      <c r="K466" s="101">
        <v>200000</v>
      </c>
    </row>
    <row r="467" spans="2:11" ht="76.5" customHeight="1">
      <c r="B467" s="28"/>
      <c r="C467" s="89" t="s">
        <v>115</v>
      </c>
      <c r="D467" s="89" t="s">
        <v>102</v>
      </c>
      <c r="E467" s="90" t="s">
        <v>434</v>
      </c>
      <c r="F467" s="106" t="s">
        <v>103</v>
      </c>
      <c r="G467" s="80" t="s">
        <v>134</v>
      </c>
      <c r="H467" s="102"/>
      <c r="I467" s="101"/>
      <c r="J467" s="101"/>
      <c r="K467" s="101">
        <f>700000-700000</f>
        <v>0</v>
      </c>
    </row>
    <row r="468" spans="2:11" ht="39.75" customHeight="1">
      <c r="B468" s="28"/>
      <c r="C468" s="148" t="s">
        <v>446</v>
      </c>
      <c r="D468" s="149"/>
      <c r="E468" s="149"/>
      <c r="F468" s="150" t="s">
        <v>447</v>
      </c>
      <c r="G468" s="147"/>
      <c r="H468" s="102"/>
      <c r="I468" s="101"/>
      <c r="J468" s="101"/>
      <c r="K468" s="102">
        <f>3000000+4070000-5000</f>
        <v>7065000</v>
      </c>
    </row>
    <row r="469" spans="2:11" ht="78" customHeight="1">
      <c r="B469" s="28"/>
      <c r="C469" s="89" t="s">
        <v>121</v>
      </c>
      <c r="D469" s="89" t="s">
        <v>102</v>
      </c>
      <c r="E469" s="90" t="s">
        <v>434</v>
      </c>
      <c r="F469" s="106" t="s">
        <v>103</v>
      </c>
      <c r="G469" s="19" t="s">
        <v>538</v>
      </c>
      <c r="H469" s="102"/>
      <c r="I469" s="101"/>
      <c r="J469" s="101"/>
      <c r="K469" s="101">
        <v>4070000</v>
      </c>
    </row>
    <row r="470" spans="2:11" ht="77.25" customHeight="1">
      <c r="B470" s="28"/>
      <c r="C470" s="89" t="s">
        <v>121</v>
      </c>
      <c r="D470" s="89" t="s">
        <v>102</v>
      </c>
      <c r="E470" s="90" t="s">
        <v>434</v>
      </c>
      <c r="F470" s="106" t="s">
        <v>103</v>
      </c>
      <c r="G470" s="19" t="s">
        <v>472</v>
      </c>
      <c r="H470" s="102"/>
      <c r="I470" s="101"/>
      <c r="J470" s="101"/>
      <c r="K470" s="101">
        <f>3000000-5000</f>
        <v>2995000</v>
      </c>
    </row>
    <row r="471" spans="2:11" ht="39.75" customHeight="1">
      <c r="B471" s="28"/>
      <c r="C471" s="20"/>
      <c r="D471" s="129"/>
      <c r="E471" s="130"/>
      <c r="F471" s="130"/>
      <c r="G471" s="83" t="s">
        <v>122</v>
      </c>
      <c r="H471" s="102"/>
      <c r="I471" s="101"/>
      <c r="J471" s="101"/>
      <c r="K471" s="102">
        <f>SUM(K373,K407,K468)</f>
        <v>53461931</v>
      </c>
    </row>
    <row r="472" spans="2:11" ht="39.75" customHeight="1">
      <c r="B472" s="28"/>
      <c r="C472" s="20"/>
      <c r="D472" s="129"/>
      <c r="E472" s="130"/>
      <c r="F472" s="130"/>
      <c r="G472" s="83" t="s">
        <v>467</v>
      </c>
      <c r="H472" s="102"/>
      <c r="I472" s="101"/>
      <c r="J472" s="101"/>
      <c r="K472" s="102">
        <f>SUM(K10,K132,K229,K240,K247,K253,K255,K259,K263,K284,K287,K292,K299,K300,K303,K306,K307,K309,K314,K324,K326,K327,K349,K370,K471)</f>
        <v>281632383</v>
      </c>
    </row>
    <row r="473" spans="2:11" ht="39.75" customHeight="1">
      <c r="B473" s="28"/>
      <c r="C473" s="62"/>
      <c r="D473" s="62"/>
      <c r="E473" s="62"/>
      <c r="F473" s="124"/>
      <c r="G473" s="119"/>
      <c r="H473" s="100"/>
      <c r="I473" s="125"/>
      <c r="J473" s="125"/>
      <c r="K473" s="100"/>
    </row>
    <row r="474" spans="1:11" s="74" customFormat="1" ht="48" customHeight="1">
      <c r="A474" s="14"/>
      <c r="B474" s="28"/>
      <c r="C474" s="20"/>
      <c r="D474" s="20"/>
      <c r="E474" s="26"/>
      <c r="F474" s="170" t="s">
        <v>473</v>
      </c>
      <c r="G474" s="171"/>
      <c r="H474" s="27"/>
      <c r="I474" s="27"/>
      <c r="J474" s="27"/>
      <c r="K474" s="102">
        <v>750000</v>
      </c>
    </row>
    <row r="475" spans="1:11" s="74" customFormat="1" ht="26.25" customHeight="1">
      <c r="A475" s="14"/>
      <c r="B475" s="28"/>
      <c r="C475" s="20"/>
      <c r="D475" s="20"/>
      <c r="E475" s="26"/>
      <c r="F475" s="26"/>
      <c r="G475" s="115" t="s">
        <v>474</v>
      </c>
      <c r="H475" s="27"/>
      <c r="I475" s="27"/>
      <c r="J475" s="27"/>
      <c r="K475" s="102">
        <f>SUM(K472,K474)</f>
        <v>282382383</v>
      </c>
    </row>
    <row r="476" spans="1:11" s="74" customFormat="1" ht="26.25" customHeight="1">
      <c r="A476" s="14"/>
      <c r="B476" s="28"/>
      <c r="C476" s="62"/>
      <c r="D476" s="62"/>
      <c r="E476" s="65"/>
      <c r="F476" s="65"/>
      <c r="G476" s="73"/>
      <c r="H476" s="63"/>
      <c r="I476" s="63"/>
      <c r="J476" s="63"/>
      <c r="K476" s="64"/>
    </row>
    <row r="477" spans="2:11" ht="26.25" customHeight="1">
      <c r="B477" s="28"/>
      <c r="C477" s="62"/>
      <c r="D477" s="62"/>
      <c r="E477" s="65"/>
      <c r="F477" s="65"/>
      <c r="G477" s="114"/>
      <c r="H477" s="63"/>
      <c r="I477" s="63"/>
      <c r="J477" s="63"/>
      <c r="K477" s="100"/>
    </row>
    <row r="478" spans="2:11" ht="26.25" customHeight="1">
      <c r="B478" s="28"/>
      <c r="C478" s="167" t="s">
        <v>187</v>
      </c>
      <c r="D478" s="167"/>
      <c r="E478" s="167"/>
      <c r="F478" s="167"/>
      <c r="G478" s="167" t="s">
        <v>468</v>
      </c>
      <c r="H478" s="172"/>
      <c r="I478" s="63"/>
      <c r="J478" s="63"/>
      <c r="K478" s="64"/>
    </row>
    <row r="479" spans="2:11" ht="26.25" customHeight="1">
      <c r="B479" s="28"/>
      <c r="C479" s="62"/>
      <c r="D479" s="62"/>
      <c r="E479" s="65"/>
      <c r="F479" s="65"/>
      <c r="G479" s="66"/>
      <c r="H479" s="63"/>
      <c r="I479" s="63"/>
      <c r="J479" s="63"/>
      <c r="K479" s="64"/>
    </row>
    <row r="480" spans="2:11" ht="26.25" customHeight="1">
      <c r="B480" s="28"/>
      <c r="C480" s="62"/>
      <c r="D480" s="62"/>
      <c r="E480" s="65"/>
      <c r="F480" s="65"/>
      <c r="G480" s="66"/>
      <c r="H480" s="63"/>
      <c r="I480" s="63"/>
      <c r="J480" s="63"/>
      <c r="K480" s="64"/>
    </row>
    <row r="481" spans="2:11" ht="26.25" customHeight="1">
      <c r="B481" s="28"/>
      <c r="C481" s="62"/>
      <c r="D481" s="62"/>
      <c r="E481" s="65"/>
      <c r="F481" s="65"/>
      <c r="G481" s="66"/>
      <c r="H481" s="63"/>
      <c r="I481" s="63"/>
      <c r="J481" s="63"/>
      <c r="K481" s="64"/>
    </row>
    <row r="482" spans="2:11" ht="15">
      <c r="B482" s="28"/>
      <c r="C482" s="173"/>
      <c r="D482" s="173"/>
      <c r="E482" s="173"/>
      <c r="F482" s="173"/>
      <c r="G482" s="173"/>
      <c r="H482" s="173"/>
      <c r="I482" s="31"/>
      <c r="J482" s="31"/>
      <c r="K482" s="31"/>
    </row>
    <row r="483" spans="2:11" ht="22.5" customHeight="1">
      <c r="B483" s="167"/>
      <c r="C483" s="167"/>
      <c r="D483" s="167"/>
      <c r="E483" s="167"/>
      <c r="F483" s="60"/>
      <c r="G483" s="52"/>
      <c r="H483" s="55"/>
      <c r="I483" s="31"/>
      <c r="J483" s="31"/>
      <c r="K483" s="31"/>
    </row>
    <row r="484" spans="2:11" ht="15" customHeight="1">
      <c r="B484" s="28"/>
      <c r="C484" s="29"/>
      <c r="D484" s="29"/>
      <c r="E484" s="166"/>
      <c r="F484" s="166"/>
      <c r="G484" s="166"/>
      <c r="H484" s="166"/>
      <c r="I484" s="166"/>
      <c r="J484" s="166"/>
      <c r="K484" s="31"/>
    </row>
    <row r="485" spans="2:11" ht="25.5" customHeight="1">
      <c r="B485" s="28"/>
      <c r="C485" s="29"/>
      <c r="D485" s="29"/>
      <c r="E485" s="166"/>
      <c r="F485" s="166"/>
      <c r="G485" s="166"/>
      <c r="H485" s="166"/>
      <c r="I485" s="166"/>
      <c r="J485" s="166"/>
      <c r="K485" s="31"/>
    </row>
    <row r="486" spans="2:11" ht="15">
      <c r="B486" s="28"/>
      <c r="C486" s="29"/>
      <c r="D486" s="29"/>
      <c r="E486" s="30"/>
      <c r="F486" s="30"/>
      <c r="G486" s="31"/>
      <c r="H486" s="31"/>
      <c r="I486" s="31"/>
      <c r="J486" s="31"/>
      <c r="K486" s="31"/>
    </row>
    <row r="487" spans="2:11" ht="22.5">
      <c r="B487" s="167"/>
      <c r="C487" s="167"/>
      <c r="D487" s="167"/>
      <c r="E487" s="167"/>
      <c r="F487" s="60"/>
      <c r="G487" s="52"/>
      <c r="H487" s="31"/>
      <c r="I487" s="31"/>
      <c r="J487" s="31"/>
      <c r="K487" s="31"/>
    </row>
    <row r="488" spans="2:11" ht="52.5" customHeight="1">
      <c r="B488" s="28"/>
      <c r="C488" s="29"/>
      <c r="D488" s="29"/>
      <c r="E488" s="30"/>
      <c r="F488" s="30"/>
      <c r="G488" s="32"/>
      <c r="H488" s="33"/>
      <c r="I488" s="33"/>
      <c r="J488" s="33"/>
      <c r="K488" s="34"/>
    </row>
    <row r="489" spans="2:11" ht="42" customHeight="1">
      <c r="B489" s="28"/>
      <c r="C489" s="29"/>
      <c r="D489" s="29"/>
      <c r="E489" s="30"/>
      <c r="F489" s="30"/>
      <c r="G489" s="32"/>
      <c r="H489" s="33"/>
      <c r="I489" s="33"/>
      <c r="J489" s="33"/>
      <c r="K489" s="35"/>
    </row>
    <row r="490" spans="2:11" ht="41.25" customHeight="1">
      <c r="B490" s="28"/>
      <c r="C490" s="29"/>
      <c r="D490" s="29"/>
      <c r="E490" s="30"/>
      <c r="F490" s="30"/>
      <c r="G490" s="36"/>
      <c r="H490" s="33"/>
      <c r="I490" s="33"/>
      <c r="J490" s="33"/>
      <c r="K490" s="35"/>
    </row>
    <row r="491" spans="2:11" ht="20.25">
      <c r="B491" s="28"/>
      <c r="C491" s="29"/>
      <c r="D491" s="29"/>
      <c r="E491" s="30"/>
      <c r="F491" s="30"/>
      <c r="G491" s="36"/>
      <c r="H491" s="33"/>
      <c r="I491" s="33"/>
      <c r="J491" s="33"/>
      <c r="K491" s="35"/>
    </row>
    <row r="492" spans="2:11" ht="20.25">
      <c r="B492" s="28"/>
      <c r="C492" s="29"/>
      <c r="D492" s="29"/>
      <c r="E492" s="30"/>
      <c r="F492" s="30"/>
      <c r="G492" s="37"/>
      <c r="H492" s="33"/>
      <c r="I492" s="33"/>
      <c r="J492" s="33"/>
      <c r="K492" s="38"/>
    </row>
    <row r="493" spans="2:11" ht="20.25">
      <c r="B493" s="28"/>
      <c r="C493" s="29"/>
      <c r="D493" s="29"/>
      <c r="E493" s="39"/>
      <c r="F493" s="39"/>
      <c r="G493" s="40"/>
      <c r="H493" s="33"/>
      <c r="I493" s="33"/>
      <c r="J493" s="33"/>
      <c r="K493" s="35"/>
    </row>
    <row r="494" spans="2:11" ht="20.25">
      <c r="B494" s="28"/>
      <c r="C494" s="29"/>
      <c r="D494" s="29"/>
      <c r="E494" s="30"/>
      <c r="F494" s="30"/>
      <c r="G494" s="41"/>
      <c r="H494" s="33"/>
      <c r="I494" s="33"/>
      <c r="J494" s="33"/>
      <c r="K494" s="35"/>
    </row>
    <row r="495" spans="2:11" ht="20.25">
      <c r="B495" s="28"/>
      <c r="C495" s="29"/>
      <c r="D495" s="29"/>
      <c r="E495" s="30"/>
      <c r="F495" s="30"/>
      <c r="G495" s="41"/>
      <c r="H495" s="33"/>
      <c r="I495" s="33"/>
      <c r="J495" s="33"/>
      <c r="K495" s="35"/>
    </row>
    <row r="496" spans="2:11" ht="20.25">
      <c r="B496" s="28"/>
      <c r="C496" s="29"/>
      <c r="D496" s="29"/>
      <c r="E496" s="30"/>
      <c r="F496" s="30"/>
      <c r="G496" s="41"/>
      <c r="H496" s="33"/>
      <c r="I496" s="33"/>
      <c r="J496" s="33"/>
      <c r="K496" s="35"/>
    </row>
    <row r="497" spans="2:11" ht="42.75" customHeight="1">
      <c r="B497" s="28"/>
      <c r="C497" s="29"/>
      <c r="D497" s="29"/>
      <c r="E497" s="30"/>
      <c r="F497" s="30"/>
      <c r="G497" s="41"/>
      <c r="H497" s="33"/>
      <c r="I497" s="33"/>
      <c r="J497" s="33"/>
      <c r="K497" s="35"/>
    </row>
    <row r="498" spans="2:11" ht="20.25">
      <c r="B498" s="28"/>
      <c r="C498" s="29"/>
      <c r="D498" s="29"/>
      <c r="E498" s="30"/>
      <c r="F498" s="30"/>
      <c r="G498" s="41"/>
      <c r="H498" s="33"/>
      <c r="I498" s="33"/>
      <c r="J498" s="33"/>
      <c r="K498" s="35"/>
    </row>
    <row r="499" spans="2:11" ht="20.25">
      <c r="B499" s="28"/>
      <c r="C499" s="29"/>
      <c r="D499" s="29"/>
      <c r="E499" s="30"/>
      <c r="F499" s="30"/>
      <c r="G499" s="41"/>
      <c r="H499" s="33"/>
      <c r="I499" s="33"/>
      <c r="J499" s="33"/>
      <c r="K499" s="35"/>
    </row>
    <row r="500" spans="2:11" ht="57" customHeight="1">
      <c r="B500" s="28"/>
      <c r="C500" s="29"/>
      <c r="D500" s="29"/>
      <c r="E500" s="30"/>
      <c r="F500" s="30"/>
      <c r="G500" s="41"/>
      <c r="H500" s="33"/>
      <c r="I500" s="33"/>
      <c r="J500" s="33"/>
      <c r="K500" s="35"/>
    </row>
    <row r="501" spans="2:11" ht="20.25">
      <c r="B501" s="28"/>
      <c r="C501" s="29"/>
      <c r="D501" s="29"/>
      <c r="E501" s="30"/>
      <c r="F501" s="30"/>
      <c r="G501" s="41"/>
      <c r="H501" s="33"/>
      <c r="I501" s="33"/>
      <c r="J501" s="33"/>
      <c r="K501" s="35"/>
    </row>
    <row r="502" spans="2:11" ht="20.25">
      <c r="B502" s="28"/>
      <c r="C502" s="29"/>
      <c r="D502" s="29"/>
      <c r="E502" s="30"/>
      <c r="F502" s="30"/>
      <c r="G502" s="41"/>
      <c r="H502" s="33"/>
      <c r="I502" s="33"/>
      <c r="J502" s="33"/>
      <c r="K502" s="35"/>
    </row>
    <row r="503" spans="2:11" ht="20.25">
      <c r="B503" s="28"/>
      <c r="C503" s="29"/>
      <c r="D503" s="29"/>
      <c r="E503" s="30"/>
      <c r="F503" s="30"/>
      <c r="G503" s="41"/>
      <c r="H503" s="33"/>
      <c r="I503" s="33"/>
      <c r="J503" s="33"/>
      <c r="K503" s="35"/>
    </row>
    <row r="504" spans="2:11" ht="20.25">
      <c r="B504" s="28"/>
      <c r="C504" s="29"/>
      <c r="D504" s="29"/>
      <c r="E504" s="30"/>
      <c r="F504" s="30"/>
      <c r="G504" s="41"/>
      <c r="H504" s="33"/>
      <c r="I504" s="33"/>
      <c r="J504" s="33"/>
      <c r="K504" s="35"/>
    </row>
    <row r="505" spans="2:11" ht="20.25">
      <c r="B505" s="28"/>
      <c r="C505" s="29"/>
      <c r="D505" s="29"/>
      <c r="E505" s="30"/>
      <c r="F505" s="30"/>
      <c r="G505" s="41"/>
      <c r="H505" s="33"/>
      <c r="I505" s="33"/>
      <c r="J505" s="33"/>
      <c r="K505" s="35"/>
    </row>
    <row r="506" spans="2:11" ht="20.25">
      <c r="B506" s="28"/>
      <c r="C506" s="29"/>
      <c r="D506" s="29"/>
      <c r="E506" s="30"/>
      <c r="F506" s="30"/>
      <c r="G506" s="41"/>
      <c r="H506" s="33"/>
      <c r="I506" s="33"/>
      <c r="J506" s="33"/>
      <c r="K506" s="35"/>
    </row>
    <row r="507" spans="2:11" ht="20.25">
      <c r="B507" s="28"/>
      <c r="C507" s="29"/>
      <c r="D507" s="29"/>
      <c r="E507" s="30"/>
      <c r="F507" s="30"/>
      <c r="G507" s="41"/>
      <c r="H507" s="33"/>
      <c r="I507" s="33"/>
      <c r="J507" s="33"/>
      <c r="K507" s="35"/>
    </row>
    <row r="508" spans="2:11" ht="20.25">
      <c r="B508" s="28"/>
      <c r="C508" s="29"/>
      <c r="D508" s="29"/>
      <c r="E508" s="30"/>
      <c r="F508" s="30"/>
      <c r="G508" s="42"/>
      <c r="H508" s="33"/>
      <c r="I508" s="33"/>
      <c r="J508" s="33"/>
      <c r="K508" s="35"/>
    </row>
    <row r="509" spans="2:11" ht="20.25">
      <c r="B509" s="28"/>
      <c r="C509" s="29"/>
      <c r="D509" s="29"/>
      <c r="E509" s="30"/>
      <c r="F509" s="30"/>
      <c r="G509" s="42"/>
      <c r="H509" s="33"/>
      <c r="I509" s="33"/>
      <c r="J509" s="33"/>
      <c r="K509" s="35"/>
    </row>
    <row r="510" spans="2:11" ht="20.25">
      <c r="B510" s="28"/>
      <c r="C510" s="29"/>
      <c r="D510" s="29"/>
      <c r="E510" s="30"/>
      <c r="F510" s="30"/>
      <c r="G510" s="32"/>
      <c r="H510" s="33"/>
      <c r="I510" s="33"/>
      <c r="J510" s="33"/>
      <c r="K510" s="43"/>
    </row>
    <row r="511" spans="2:11" ht="20.25">
      <c r="B511" s="28"/>
      <c r="C511" s="29"/>
      <c r="D511" s="29"/>
      <c r="E511" s="30"/>
      <c r="F511" s="30"/>
      <c r="G511" s="32"/>
      <c r="H511" s="33"/>
      <c r="I511" s="33"/>
      <c r="J511" s="33"/>
      <c r="K511" s="43"/>
    </row>
    <row r="512" spans="2:11" ht="20.25">
      <c r="B512" s="28"/>
      <c r="C512" s="29"/>
      <c r="D512" s="29"/>
      <c r="E512" s="30"/>
      <c r="F512" s="30"/>
      <c r="G512" s="44"/>
      <c r="H512" s="33"/>
      <c r="I512" s="33"/>
      <c r="J512" s="33"/>
      <c r="K512" s="43"/>
    </row>
    <row r="513" spans="2:11" ht="20.25">
      <c r="B513" s="28"/>
      <c r="C513" s="29"/>
      <c r="D513" s="29"/>
      <c r="E513" s="30"/>
      <c r="F513" s="30"/>
      <c r="G513" s="45"/>
      <c r="H513" s="33"/>
      <c r="I513" s="33"/>
      <c r="J513" s="33"/>
      <c r="K513" s="43"/>
    </row>
    <row r="514" spans="2:11" ht="20.25">
      <c r="B514" s="28"/>
      <c r="C514" s="29"/>
      <c r="D514" s="29"/>
      <c r="E514" s="30"/>
      <c r="F514" s="30"/>
      <c r="G514" s="45"/>
      <c r="H514" s="33"/>
      <c r="I514" s="33"/>
      <c r="J514" s="33"/>
      <c r="K514" s="43"/>
    </row>
    <row r="515" spans="2:11" ht="20.25">
      <c r="B515" s="28"/>
      <c r="C515" s="29"/>
      <c r="D515" s="29"/>
      <c r="E515" s="30"/>
      <c r="F515" s="30"/>
      <c r="G515" s="45"/>
      <c r="H515" s="33"/>
      <c r="I515" s="33"/>
      <c r="J515" s="33"/>
      <c r="K515" s="43"/>
    </row>
    <row r="516" spans="2:11" ht="21.75" customHeight="1">
      <c r="B516" s="28"/>
      <c r="C516" s="29"/>
      <c r="D516" s="29"/>
      <c r="E516" s="30"/>
      <c r="F516" s="30"/>
      <c r="G516" s="46"/>
      <c r="H516" s="33"/>
      <c r="I516" s="33"/>
      <c r="J516" s="33"/>
      <c r="K516" s="43"/>
    </row>
    <row r="517" spans="2:11" ht="20.25">
      <c r="B517" s="28"/>
      <c r="C517" s="29"/>
      <c r="D517" s="29"/>
      <c r="E517" s="30"/>
      <c r="F517" s="30"/>
      <c r="G517" s="45"/>
      <c r="H517" s="33"/>
      <c r="I517" s="33"/>
      <c r="J517" s="33"/>
      <c r="K517" s="43"/>
    </row>
    <row r="518" spans="2:11" ht="20.25">
      <c r="B518" s="28"/>
      <c r="C518" s="29"/>
      <c r="D518" s="29"/>
      <c r="E518" s="30"/>
      <c r="F518" s="30"/>
      <c r="G518" s="36"/>
      <c r="H518" s="33"/>
      <c r="I518" s="33"/>
      <c r="J518" s="33"/>
      <c r="K518" s="43"/>
    </row>
    <row r="519" spans="2:11" ht="20.25">
      <c r="B519" s="28"/>
      <c r="C519" s="29"/>
      <c r="D519" s="29"/>
      <c r="E519" s="30"/>
      <c r="F519" s="30"/>
      <c r="G519" s="47"/>
      <c r="H519" s="33"/>
      <c r="I519" s="33"/>
      <c r="J519" s="33"/>
      <c r="K519" s="38"/>
    </row>
    <row r="520" spans="2:11" ht="20.25">
      <c r="B520" s="28"/>
      <c r="C520" s="29"/>
      <c r="D520" s="29"/>
      <c r="E520" s="48"/>
      <c r="F520" s="48"/>
      <c r="G520" s="49"/>
      <c r="H520" s="33"/>
      <c r="I520" s="33"/>
      <c r="J520" s="33"/>
      <c r="K520" s="43"/>
    </row>
    <row r="521" spans="2:11" ht="20.25">
      <c r="B521" s="28"/>
      <c r="C521" s="29"/>
      <c r="D521" s="29"/>
      <c r="E521" s="30"/>
      <c r="F521" s="30"/>
      <c r="G521" s="32"/>
      <c r="H521" s="33"/>
      <c r="I521" s="33"/>
      <c r="J521" s="33"/>
      <c r="K521" s="43"/>
    </row>
    <row r="522" spans="2:11" ht="20.25">
      <c r="B522" s="28"/>
      <c r="C522" s="29"/>
      <c r="D522" s="29"/>
      <c r="E522" s="30"/>
      <c r="F522" s="30"/>
      <c r="G522" s="36"/>
      <c r="H522" s="33"/>
      <c r="I522" s="33"/>
      <c r="J522" s="33"/>
      <c r="K522" s="43"/>
    </row>
    <row r="523" spans="2:11" ht="20.25">
      <c r="B523" s="28"/>
      <c r="C523" s="29"/>
      <c r="D523" s="29"/>
      <c r="E523" s="30"/>
      <c r="F523" s="30"/>
      <c r="G523" s="47"/>
      <c r="H523" s="33"/>
      <c r="I523" s="33"/>
      <c r="J523" s="33"/>
      <c r="K523" s="50"/>
    </row>
    <row r="524" spans="2:11" ht="20.25">
      <c r="B524" s="28"/>
      <c r="C524" s="29"/>
      <c r="D524" s="29"/>
      <c r="E524" s="48"/>
      <c r="F524" s="48"/>
      <c r="G524" s="49"/>
      <c r="H524" s="33"/>
      <c r="I524" s="33"/>
      <c r="J524" s="33"/>
      <c r="K524" s="43"/>
    </row>
    <row r="525" spans="2:11" ht="20.25">
      <c r="B525" s="28"/>
      <c r="C525" s="29"/>
      <c r="D525" s="29"/>
      <c r="E525" s="30"/>
      <c r="F525" s="30"/>
      <c r="G525" s="32"/>
      <c r="H525" s="33"/>
      <c r="I525" s="33"/>
      <c r="J525" s="33"/>
      <c r="K525" s="43"/>
    </row>
    <row r="526" spans="2:11" ht="20.25">
      <c r="B526" s="28"/>
      <c r="C526" s="29"/>
      <c r="D526" s="29"/>
      <c r="E526" s="30"/>
      <c r="F526" s="30"/>
      <c r="G526" s="32"/>
      <c r="H526" s="33"/>
      <c r="I526" s="33"/>
      <c r="J526" s="33"/>
      <c r="K526" s="43"/>
    </row>
    <row r="527" spans="2:11" ht="20.25">
      <c r="B527" s="28"/>
      <c r="C527" s="29"/>
      <c r="D527" s="29"/>
      <c r="E527" s="30"/>
      <c r="F527" s="30"/>
      <c r="G527" s="32"/>
      <c r="H527" s="33"/>
      <c r="I527" s="33"/>
      <c r="J527" s="33"/>
      <c r="K527" s="43"/>
    </row>
    <row r="528" spans="2:11" ht="20.25">
      <c r="B528" s="28"/>
      <c r="C528" s="29"/>
      <c r="D528" s="29"/>
      <c r="E528" s="30"/>
      <c r="F528" s="30"/>
      <c r="G528" s="32"/>
      <c r="H528" s="33"/>
      <c r="I528" s="33"/>
      <c r="J528" s="33"/>
      <c r="K528" s="43"/>
    </row>
    <row r="529" spans="2:11" ht="20.25">
      <c r="B529" s="28"/>
      <c r="C529" s="29"/>
      <c r="D529" s="29"/>
      <c r="E529" s="30"/>
      <c r="F529" s="30"/>
      <c r="G529" s="32"/>
      <c r="H529" s="33"/>
      <c r="I529" s="33"/>
      <c r="J529" s="33"/>
      <c r="K529" s="43"/>
    </row>
    <row r="530" spans="2:11" ht="20.25">
      <c r="B530" s="28"/>
      <c r="C530" s="29"/>
      <c r="D530" s="29"/>
      <c r="E530" s="30"/>
      <c r="F530" s="30"/>
      <c r="G530" s="32"/>
      <c r="H530" s="33"/>
      <c r="I530" s="33"/>
      <c r="J530" s="33"/>
      <c r="K530" s="43"/>
    </row>
    <row r="531" spans="2:11" ht="20.25">
      <c r="B531" s="28"/>
      <c r="C531" s="29"/>
      <c r="D531" s="29"/>
      <c r="E531" s="30"/>
      <c r="F531" s="30"/>
      <c r="G531" s="32"/>
      <c r="H531" s="33"/>
      <c r="I531" s="33"/>
      <c r="J531" s="33"/>
      <c r="K531" s="43"/>
    </row>
    <row r="532" spans="2:11" ht="20.25">
      <c r="B532" s="28"/>
      <c r="C532" s="29"/>
      <c r="D532" s="29"/>
      <c r="E532" s="30"/>
      <c r="F532" s="30"/>
      <c r="G532" s="32"/>
      <c r="H532" s="33"/>
      <c r="I532" s="33"/>
      <c r="J532" s="33"/>
      <c r="K532" s="43"/>
    </row>
    <row r="533" spans="2:11" ht="20.25">
      <c r="B533" s="28"/>
      <c r="C533" s="29"/>
      <c r="D533" s="29"/>
      <c r="E533" s="30"/>
      <c r="F533" s="30"/>
      <c r="G533" s="36"/>
      <c r="H533" s="33"/>
      <c r="I533" s="33"/>
      <c r="J533" s="33"/>
      <c r="K533" s="43"/>
    </row>
    <row r="534" spans="2:11" ht="20.25">
      <c r="B534" s="28"/>
      <c r="C534" s="29"/>
      <c r="D534" s="29"/>
      <c r="E534" s="30"/>
      <c r="F534" s="30"/>
      <c r="G534" s="47"/>
      <c r="H534" s="33"/>
      <c r="I534" s="33"/>
      <c r="J534" s="33"/>
      <c r="K534" s="50"/>
    </row>
    <row r="535" spans="2:11" ht="20.25">
      <c r="B535" s="28"/>
      <c r="C535" s="29"/>
      <c r="D535" s="29"/>
      <c r="E535" s="51"/>
      <c r="F535" s="51"/>
      <c r="G535" s="49"/>
      <c r="H535" s="33"/>
      <c r="I535" s="33"/>
      <c r="J535" s="33"/>
      <c r="K535" s="43"/>
    </row>
    <row r="536" spans="2:11" ht="20.25">
      <c r="B536" s="28"/>
      <c r="C536" s="29"/>
      <c r="D536" s="29"/>
      <c r="E536" s="30"/>
      <c r="F536" s="30"/>
      <c r="G536" s="32"/>
      <c r="H536" s="33"/>
      <c r="I536" s="33"/>
      <c r="J536" s="33"/>
      <c r="K536" s="43"/>
    </row>
    <row r="537" spans="2:11" ht="20.25">
      <c r="B537" s="28"/>
      <c r="C537" s="29"/>
      <c r="D537" s="29"/>
      <c r="E537" s="30"/>
      <c r="F537" s="30"/>
      <c r="G537" s="32"/>
      <c r="H537" s="33"/>
      <c r="I537" s="33"/>
      <c r="J537" s="33"/>
      <c r="K537" s="43"/>
    </row>
  </sheetData>
  <sheetProtection/>
  <mergeCells count="26">
    <mergeCell ref="B1:K1"/>
    <mergeCell ref="D2:D6"/>
    <mergeCell ref="H2:K2"/>
    <mergeCell ref="H3:K3"/>
    <mergeCell ref="H4:K4"/>
    <mergeCell ref="B7:K7"/>
    <mergeCell ref="C267:I267"/>
    <mergeCell ref="D285:G286"/>
    <mergeCell ref="D289:G289"/>
    <mergeCell ref="F290:G290"/>
    <mergeCell ref="E298:H298"/>
    <mergeCell ref="C302:H302"/>
    <mergeCell ref="C305:H305"/>
    <mergeCell ref="C308:I308"/>
    <mergeCell ref="C312:J312"/>
    <mergeCell ref="C325:I325"/>
    <mergeCell ref="C329:H329"/>
    <mergeCell ref="C351:H351"/>
    <mergeCell ref="E484:J485"/>
    <mergeCell ref="B487:E487"/>
    <mergeCell ref="C372:J372"/>
    <mergeCell ref="F474:G474"/>
    <mergeCell ref="C478:F478"/>
    <mergeCell ref="G478:H478"/>
    <mergeCell ref="C482:H482"/>
    <mergeCell ref="B483:E483"/>
  </mergeCells>
  <printOptions/>
  <pageMargins left="0.64" right="0.37" top="0.44" bottom="0.33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2018-12-18T13:37:43Z</cp:lastPrinted>
  <dcterms:created xsi:type="dcterms:W3CDTF">2014-01-17T10:52:16Z</dcterms:created>
  <dcterms:modified xsi:type="dcterms:W3CDTF">2018-12-19T09:42:55Z</dcterms:modified>
  <cp:category/>
  <cp:version/>
  <cp:contentType/>
  <cp:contentStatus/>
</cp:coreProperties>
</file>