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14.04.17." sheetId="1" r:id="rId1"/>
  </sheets>
  <definedNames/>
  <calcPr fullCalcOnLoad="1"/>
</workbook>
</file>

<file path=xl/sharedStrings.xml><?xml version="1.0" encoding="utf-8"?>
<sst xmlns="http://schemas.openxmlformats.org/spreadsheetml/2006/main" count="527" uniqueCount="372">
  <si>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</si>
  <si>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</si>
  <si>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</si>
  <si>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</si>
  <si>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</si>
  <si>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</si>
  <si>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</si>
  <si>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</si>
  <si>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</si>
  <si>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</si>
  <si>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</si>
  <si>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</si>
  <si>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</si>
  <si>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</si>
  <si>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</si>
  <si>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</si>
  <si>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</si>
  <si>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</si>
  <si>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</si>
  <si>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</si>
  <si>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</si>
  <si>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</si>
  <si>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</si>
  <si>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</si>
  <si>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</si>
  <si>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</si>
  <si>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</si>
  <si>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</si>
  <si>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</si>
  <si>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</si>
  <si>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</si>
  <si>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</si>
  <si>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</si>
  <si>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</si>
  <si>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</si>
  <si>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</si>
  <si>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</si>
  <si>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</si>
  <si>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</si>
  <si>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</si>
  <si>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</si>
  <si>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</si>
  <si>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</si>
  <si>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</si>
  <si>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</si>
  <si>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</si>
  <si>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</si>
  <si>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</si>
  <si>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</si>
  <si>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</si>
  <si>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</si>
  <si>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</si>
  <si>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</si>
  <si>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</si>
  <si>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</si>
  <si>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</si>
  <si>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</si>
  <si>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</si>
  <si>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</si>
  <si>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</si>
  <si>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</si>
  <si>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</si>
  <si>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</si>
  <si>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</si>
  <si>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</si>
  <si>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</si>
  <si>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</si>
  <si>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</si>
  <si>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</si>
  <si>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</si>
  <si>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</si>
  <si>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</si>
  <si>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</si>
  <si>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</si>
  <si>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</si>
  <si>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</si>
  <si>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</si>
  <si>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</si>
  <si>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</si>
  <si>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</si>
  <si>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</si>
  <si>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</si>
  <si>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</si>
  <si>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</si>
  <si>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</si>
  <si>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</si>
  <si>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</si>
  <si>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</si>
  <si>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</si>
  <si>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</si>
  <si>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</si>
  <si>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</si>
  <si>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</si>
  <si>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</si>
  <si>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</si>
  <si>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</si>
  <si>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</si>
  <si>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</si>
  <si>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</si>
  <si>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</si>
  <si>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</si>
  <si>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</si>
  <si>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</si>
  <si>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</si>
  <si>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</si>
  <si>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</si>
  <si>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</si>
  <si>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</si>
  <si>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</si>
  <si>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</si>
  <si>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</si>
  <si>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</si>
  <si>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</si>
  <si>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</si>
  <si>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</si>
  <si>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</si>
  <si>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</si>
  <si>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</si>
  <si>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</si>
  <si>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</si>
  <si>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</si>
  <si>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</si>
  <si>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</si>
  <si>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</si>
  <si>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</si>
  <si>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</si>
  <si>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</si>
  <si>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</si>
  <si>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</si>
  <si>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</si>
  <si>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</si>
  <si>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</si>
  <si>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</si>
  <si>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</si>
  <si>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</si>
  <si>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</si>
  <si>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</si>
  <si>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</si>
  <si>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</si>
  <si>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</si>
  <si>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</si>
  <si>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</si>
  <si>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</si>
  <si>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</si>
  <si>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</si>
  <si>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</si>
  <si>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</si>
  <si>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</si>
  <si>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</si>
  <si>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</si>
  <si>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</si>
  <si>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</si>
  <si>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</si>
  <si>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</si>
  <si>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</si>
  <si>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</si>
  <si>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</si>
  <si>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</si>
  <si>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</si>
  <si>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</si>
  <si>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</si>
  <si>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</si>
  <si>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</si>
  <si>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</si>
  <si>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</si>
  <si>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</si>
  <si>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</si>
  <si>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</si>
  <si>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</si>
  <si>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</si>
  <si>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</si>
  <si>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</si>
  <si>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</si>
  <si>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</si>
  <si>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</si>
  <si>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</si>
  <si>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</si>
  <si>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</si>
  <si>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</si>
  <si>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</si>
  <si>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</si>
  <si>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</si>
  <si>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</si>
  <si>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</si>
  <si>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</si>
  <si>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</si>
  <si>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</si>
  <si>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</si>
  <si>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</si>
  <si>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</si>
  <si>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</si>
  <si>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</si>
  <si>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</si>
  <si>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</si>
  <si>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</si>
  <si>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</si>
  <si>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</si>
  <si>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</si>
  <si>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</si>
  <si>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</si>
  <si>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</si>
  <si>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</si>
  <si>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</si>
  <si>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</si>
  <si>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</si>
  <si>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</si>
  <si>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</si>
  <si>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</si>
  <si>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</si>
  <si>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</si>
  <si>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</si>
  <si>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</si>
  <si>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</si>
  <si>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</si>
  <si>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</si>
  <si>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</si>
  <si>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</si>
  <si>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</si>
  <si>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</si>
  <si>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</si>
  <si>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</si>
  <si>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</si>
  <si>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</si>
  <si>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</si>
  <si>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</si>
  <si>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</si>
  <si>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</si>
  <si>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</si>
  <si>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</si>
  <si>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</si>
  <si>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</si>
  <si>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</si>
  <si>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</si>
  <si>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</si>
  <si>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</si>
  <si>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</si>
  <si>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</si>
  <si>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</si>
  <si>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</si>
  <si>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</si>
  <si>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</si>
  <si>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</si>
  <si>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</si>
  <si>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</si>
  <si>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</si>
  <si>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</si>
  <si>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</si>
  <si>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</si>
  <si>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</si>
  <si>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</si>
  <si>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</si>
  <si>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</si>
  <si>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</si>
  <si>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</si>
  <si>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</si>
  <si>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</si>
  <si>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</si>
  <si>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</si>
  <si>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</si>
  <si>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</si>
  <si>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</si>
  <si>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</si>
  <si>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</si>
  <si>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</si>
  <si>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</si>
  <si>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</si>
  <si>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</si>
  <si>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</si>
  <si>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</si>
  <si>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</si>
  <si>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</si>
  <si>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</si>
  <si>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</si>
  <si>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</si>
  <si>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</si>
  <si>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</si>
  <si>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</si>
  <si>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</si>
  <si>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</si>
  <si>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</si>
  <si>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</si>
  <si>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</si>
  <si>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</si>
  <si>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</si>
  <si>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</si>
  <si>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</si>
  <si>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</si>
  <si>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</si>
  <si>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</si>
  <si>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</si>
  <si>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</si>
  <si>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</si>
  <si>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</si>
  <si>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</si>
  <si>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</si>
  <si>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</si>
  <si>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</si>
  <si>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</si>
  <si>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</si>
  <si>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</si>
  <si>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</si>
  <si>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</si>
  <si>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</si>
  <si>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</si>
  <si>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</si>
  <si>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</si>
  <si>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</si>
  <si>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</si>
  <si>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</si>
  <si>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</si>
  <si>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</si>
  <si>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</si>
  <si>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</si>
  <si>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</si>
  <si>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</si>
  <si>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</si>
  <si>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</si>
  <si>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</si>
  <si>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</si>
  <si>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</si>
  <si>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</si>
  <si>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</si>
  <si>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</si>
  <si>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</si>
  <si>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</si>
  <si>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</si>
  <si>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</si>
  <si>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</si>
  <si>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</si>
  <si>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</si>
  <si>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</si>
  <si>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</si>
  <si>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</si>
  <si>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</si>
  <si>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</si>
  <si>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</si>
  <si>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</si>
  <si>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</si>
  <si>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</si>
  <si>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</si>
  <si>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</si>
  <si>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</si>
  <si>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</si>
  <si>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</si>
  <si>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</si>
  <si>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</si>
  <si>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 xml:space="preserve"> - програм запобігання злочинності "Безпечне місто Біла Церква (СМАРТ-СІТІ:Безпека) на 2016-2018 р.</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</si>
  <si>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</si>
  <si>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</si>
  <si>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</si>
  <si>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</si>
  <si>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</si>
  <si>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</si>
  <si>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</si>
  <si>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</si>
  <si>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</si>
  <si>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</si>
  <si>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</si>
  <si>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</si>
  <si>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</si>
  <si>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</si>
  <si>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</si>
  <si>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0317310</t>
  </si>
  <si>
    <t>7310</t>
  </si>
  <si>
    <t>0421</t>
  </si>
  <si>
    <t>Проведення заходів із землеустрою</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</si>
  <si>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</si>
  <si>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</si>
  <si>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</si>
  <si>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від  14. 04.2017 р. № 642 -29-УІІ )</t>
  </si>
  <si>
    <t>Г.А. Дикий</t>
  </si>
  <si>
    <t xml:space="preserve">Міський голова                             </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</si>
</sst>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0.000"/>
  </numFmts>
  <fonts count="36">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8"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3" fillId="0" borderId="10" xfId="0" applyNumberFormat="1" applyFont="1" applyFill="1" applyBorder="1" applyAlignment="1" applyProtection="1">
      <alignment horizontal="center" vertical="center" wrapText="1"/>
      <protection/>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3"/>
  <sheetViews>
    <sheetView tabSelected="1" zoomScalePageLayoutView="0" workbookViewId="0" topLeftCell="A154">
      <selection activeCell="A172" sqref="A172"/>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300</v>
      </c>
      <c r="L3" s="3"/>
      <c r="M3" s="3"/>
    </row>
    <row r="4" spans="1:12" ht="12.75">
      <c r="A4" s="3"/>
      <c r="B4" s="3"/>
      <c r="C4" s="3"/>
      <c r="D4" s="3"/>
      <c r="E4" s="3"/>
      <c r="F4" s="3"/>
      <c r="G4" s="3"/>
      <c r="H4" s="3"/>
      <c r="I4" s="3"/>
      <c r="J4" s="3"/>
      <c r="K4" s="3" t="s">
        <v>303</v>
      </c>
      <c r="L4" s="3"/>
    </row>
    <row r="5" spans="1:12" ht="12.75">
      <c r="A5" s="3"/>
      <c r="B5" s="3"/>
      <c r="C5" s="3"/>
      <c r="D5" s="3"/>
      <c r="E5" s="3"/>
      <c r="F5" s="3"/>
      <c r="G5" s="3"/>
      <c r="H5" s="3"/>
      <c r="I5" s="3"/>
      <c r="J5" s="3"/>
      <c r="K5" s="3" t="s">
        <v>369</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36</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1" t="s">
        <v>37</v>
      </c>
      <c r="B11" s="184" t="s">
        <v>301</v>
      </c>
      <c r="C11" s="184" t="s">
        <v>19</v>
      </c>
      <c r="D11" s="185" t="s">
        <v>272</v>
      </c>
      <c r="E11" s="180" t="s">
        <v>20</v>
      </c>
      <c r="F11" s="180"/>
      <c r="G11" s="180"/>
      <c r="H11" s="180"/>
      <c r="I11" s="180"/>
      <c r="J11" s="180" t="s">
        <v>21</v>
      </c>
      <c r="K11" s="180"/>
      <c r="L11" s="180"/>
      <c r="M11" s="180"/>
      <c r="N11" s="180"/>
      <c r="O11" s="180"/>
      <c r="P11" s="180" t="s">
        <v>22</v>
      </c>
    </row>
    <row r="12" spans="1:16" ht="12.75">
      <c r="A12" s="182"/>
      <c r="B12" s="184"/>
      <c r="C12" s="184"/>
      <c r="D12" s="186"/>
      <c r="E12" s="178" t="s">
        <v>23</v>
      </c>
      <c r="F12" s="179" t="s">
        <v>24</v>
      </c>
      <c r="G12" s="178" t="s">
        <v>9</v>
      </c>
      <c r="H12" s="178"/>
      <c r="I12" s="179" t="s">
        <v>25</v>
      </c>
      <c r="J12" s="178" t="s">
        <v>23</v>
      </c>
      <c r="K12" s="179" t="s">
        <v>24</v>
      </c>
      <c r="L12" s="178" t="s">
        <v>9</v>
      </c>
      <c r="M12" s="178"/>
      <c r="N12" s="179" t="s">
        <v>25</v>
      </c>
      <c r="O12" s="20" t="s">
        <v>9</v>
      </c>
      <c r="P12" s="180"/>
    </row>
    <row r="13" spans="1:16" ht="12.75">
      <c r="A13" s="182"/>
      <c r="B13" s="184"/>
      <c r="C13" s="184"/>
      <c r="D13" s="186"/>
      <c r="E13" s="178"/>
      <c r="F13" s="179"/>
      <c r="G13" s="178" t="s">
        <v>26</v>
      </c>
      <c r="H13" s="178" t="s">
        <v>27</v>
      </c>
      <c r="I13" s="179"/>
      <c r="J13" s="178"/>
      <c r="K13" s="179"/>
      <c r="L13" s="178" t="s">
        <v>26</v>
      </c>
      <c r="M13" s="178" t="s">
        <v>27</v>
      </c>
      <c r="N13" s="179"/>
      <c r="O13" s="192" t="s">
        <v>28</v>
      </c>
      <c r="P13" s="180"/>
    </row>
    <row r="14" spans="1:16" ht="68.25" customHeight="1">
      <c r="A14" s="183"/>
      <c r="B14" s="184"/>
      <c r="C14" s="184"/>
      <c r="D14" s="187"/>
      <c r="E14" s="178"/>
      <c r="F14" s="179"/>
      <c r="G14" s="178"/>
      <c r="H14" s="178"/>
      <c r="I14" s="179"/>
      <c r="J14" s="178"/>
      <c r="K14" s="179"/>
      <c r="L14" s="178"/>
      <c r="M14" s="178"/>
      <c r="N14" s="179"/>
      <c r="O14" s="192"/>
      <c r="P14" s="180"/>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256</v>
      </c>
      <c r="B16" s="98"/>
      <c r="C16" s="99"/>
      <c r="D16" s="43" t="s">
        <v>29</v>
      </c>
      <c r="E16" s="8">
        <f aca="true" t="shared" si="0" ref="E16:O16">SUM(E17:E24)</f>
        <v>24474109</v>
      </c>
      <c r="F16" s="8">
        <f t="shared" si="0"/>
        <v>24474109</v>
      </c>
      <c r="G16" s="8">
        <f t="shared" si="0"/>
        <v>12568027</v>
      </c>
      <c r="H16" s="8">
        <f t="shared" si="0"/>
        <v>774092</v>
      </c>
      <c r="I16" s="8">
        <f t="shared" si="0"/>
        <v>0</v>
      </c>
      <c r="J16" s="8">
        <f t="shared" si="0"/>
        <v>3625615</v>
      </c>
      <c r="K16" s="8">
        <f t="shared" si="0"/>
        <v>8615</v>
      </c>
      <c r="L16" s="8">
        <f t="shared" si="0"/>
        <v>0</v>
      </c>
      <c r="M16" s="8">
        <f t="shared" si="0"/>
        <v>0</v>
      </c>
      <c r="N16" s="8">
        <f t="shared" si="0"/>
        <v>3617000</v>
      </c>
      <c r="O16" s="17">
        <f t="shared" si="0"/>
        <v>3617000</v>
      </c>
      <c r="P16" s="54">
        <f aca="true" t="shared" si="1" ref="P16:P100">SUM(E16,J16)</f>
        <v>28099724</v>
      </c>
    </row>
    <row r="17" spans="1:16" ht="22.5" customHeight="1">
      <c r="A17" s="36" t="s">
        <v>39</v>
      </c>
      <c r="B17" s="36" t="s">
        <v>40</v>
      </c>
      <c r="C17" s="36" t="s">
        <v>41</v>
      </c>
      <c r="D17" s="79" t="s">
        <v>38</v>
      </c>
      <c r="E17" s="64">
        <f>18352909+195000</f>
        <v>18547909</v>
      </c>
      <c r="F17" s="64">
        <f>18352909+195000</f>
        <v>18547909</v>
      </c>
      <c r="G17" s="5">
        <v>12568027</v>
      </c>
      <c r="H17" s="5">
        <v>774092</v>
      </c>
      <c r="I17" s="5"/>
      <c r="J17" s="5">
        <f>8615+1000000+200000</f>
        <v>1208615</v>
      </c>
      <c r="K17" s="5">
        <v>8615</v>
      </c>
      <c r="L17" s="100"/>
      <c r="M17" s="100"/>
      <c r="N17" s="4">
        <f>1000000+200000</f>
        <v>1200000</v>
      </c>
      <c r="O17" s="4">
        <f>1000000+200000</f>
        <v>1200000</v>
      </c>
      <c r="P17" s="55">
        <f t="shared" si="1"/>
        <v>19756524</v>
      </c>
    </row>
    <row r="18" spans="1:16" ht="24">
      <c r="A18" s="29" t="s">
        <v>43</v>
      </c>
      <c r="B18" s="29" t="s">
        <v>44</v>
      </c>
      <c r="C18" s="29" t="s">
        <v>45</v>
      </c>
      <c r="D18" s="88" t="s">
        <v>42</v>
      </c>
      <c r="E18" s="65">
        <v>631200</v>
      </c>
      <c r="F18" s="65">
        <v>631200</v>
      </c>
      <c r="G18" s="45"/>
      <c r="H18" s="45"/>
      <c r="I18" s="45"/>
      <c r="J18" s="45"/>
      <c r="K18" s="45"/>
      <c r="L18" s="45"/>
      <c r="M18" s="45"/>
      <c r="N18" s="101"/>
      <c r="O18" s="45"/>
      <c r="P18" s="55">
        <f t="shared" si="1"/>
        <v>631200</v>
      </c>
    </row>
    <row r="19" spans="1:16" ht="12.75">
      <c r="A19" s="29" t="s">
        <v>358</v>
      </c>
      <c r="B19" s="29" t="s">
        <v>359</v>
      </c>
      <c r="C19" s="29" t="s">
        <v>360</v>
      </c>
      <c r="D19" s="88" t="s">
        <v>361</v>
      </c>
      <c r="E19" s="65">
        <v>2500000</v>
      </c>
      <c r="F19" s="65">
        <v>2500000</v>
      </c>
      <c r="G19" s="45"/>
      <c r="H19" s="45"/>
      <c r="I19" s="45"/>
      <c r="J19" s="45"/>
      <c r="K19" s="45"/>
      <c r="L19" s="45"/>
      <c r="M19" s="45"/>
      <c r="N19" s="101"/>
      <c r="O19" s="45"/>
      <c r="P19" s="55">
        <f t="shared" si="1"/>
        <v>2500000</v>
      </c>
    </row>
    <row r="20" spans="1:16" ht="12.75">
      <c r="A20" s="29" t="s">
        <v>338</v>
      </c>
      <c r="B20" s="29" t="s">
        <v>47</v>
      </c>
      <c r="C20" s="29" t="s">
        <v>48</v>
      </c>
      <c r="D20" s="11" t="s">
        <v>46</v>
      </c>
      <c r="E20" s="65"/>
      <c r="F20" s="65"/>
      <c r="G20" s="45"/>
      <c r="H20" s="45"/>
      <c r="I20" s="45"/>
      <c r="J20" s="65">
        <f>1500000+47000</f>
        <v>1547000</v>
      </c>
      <c r="K20" s="65"/>
      <c r="L20" s="65"/>
      <c r="M20" s="65"/>
      <c r="N20" s="65">
        <f>1500000+47000</f>
        <v>1547000</v>
      </c>
      <c r="O20" s="65">
        <f>1500000+47000</f>
        <v>1547000</v>
      </c>
      <c r="P20" s="55">
        <f t="shared" si="1"/>
        <v>1547000</v>
      </c>
    </row>
    <row r="21" spans="1:16" ht="12.75">
      <c r="A21" s="29" t="s">
        <v>362</v>
      </c>
      <c r="B21" s="29" t="s">
        <v>363</v>
      </c>
      <c r="C21" s="29" t="s">
        <v>364</v>
      </c>
      <c r="D21" s="11" t="s">
        <v>365</v>
      </c>
      <c r="E21" s="65">
        <v>1000000</v>
      </c>
      <c r="F21" s="65">
        <v>1000000</v>
      </c>
      <c r="G21" s="45"/>
      <c r="H21" s="45"/>
      <c r="I21" s="45"/>
      <c r="J21" s="65"/>
      <c r="K21" s="65"/>
      <c r="L21" s="65"/>
      <c r="M21" s="65"/>
      <c r="N21" s="65"/>
      <c r="O21" s="65"/>
      <c r="P21" s="55">
        <f t="shared" si="1"/>
        <v>1000000</v>
      </c>
    </row>
    <row r="22" spans="1:16" ht="12.75">
      <c r="A22" s="29" t="s">
        <v>355</v>
      </c>
      <c r="B22" s="29" t="s">
        <v>336</v>
      </c>
      <c r="C22" s="30" t="s">
        <v>48</v>
      </c>
      <c r="D22" s="88" t="s">
        <v>341</v>
      </c>
      <c r="E22" s="65"/>
      <c r="F22" s="65"/>
      <c r="G22" s="45"/>
      <c r="H22" s="45"/>
      <c r="I22" s="45"/>
      <c r="J22" s="65">
        <v>870000</v>
      </c>
      <c r="K22" s="65"/>
      <c r="L22" s="65"/>
      <c r="M22" s="65"/>
      <c r="N22" s="65">
        <v>870000</v>
      </c>
      <c r="O22" s="65">
        <v>870000</v>
      </c>
      <c r="P22" s="55">
        <f t="shared" si="1"/>
        <v>870000</v>
      </c>
    </row>
    <row r="23" spans="1:16" ht="12.75">
      <c r="A23" s="30" t="s">
        <v>50</v>
      </c>
      <c r="B23" s="30" t="s">
        <v>51</v>
      </c>
      <c r="C23" s="30" t="s">
        <v>52</v>
      </c>
      <c r="D23" s="11" t="s">
        <v>49</v>
      </c>
      <c r="E23" s="65">
        <v>155000</v>
      </c>
      <c r="F23" s="65">
        <v>155000</v>
      </c>
      <c r="G23" s="7"/>
      <c r="H23" s="7"/>
      <c r="I23" s="7"/>
      <c r="J23" s="7"/>
      <c r="K23" s="7"/>
      <c r="L23" s="7"/>
      <c r="M23" s="7"/>
      <c r="N23" s="7"/>
      <c r="O23" s="1"/>
      <c r="P23" s="55">
        <f t="shared" si="1"/>
        <v>155000</v>
      </c>
    </row>
    <row r="24" spans="1:16" ht="12.75">
      <c r="A24" s="30" t="s">
        <v>53</v>
      </c>
      <c r="B24" s="30" t="s">
        <v>54</v>
      </c>
      <c r="C24" s="30" t="s">
        <v>55</v>
      </c>
      <c r="D24" s="88" t="s">
        <v>257</v>
      </c>
      <c r="E24" s="168">
        <f>145000+300000+75000+50000+50000+1000000+20000</f>
        <v>1640000</v>
      </c>
      <c r="F24" s="168">
        <f>145000+300000+75000+50000+50000+1000000+20000</f>
        <v>1640000</v>
      </c>
      <c r="G24" s="7"/>
      <c r="H24" s="7"/>
      <c r="I24" s="7"/>
      <c r="J24" s="7"/>
      <c r="K24" s="7"/>
      <c r="L24" s="7"/>
      <c r="M24" s="7"/>
      <c r="N24" s="7"/>
      <c r="O24" s="1"/>
      <c r="P24" s="111">
        <f t="shared" si="1"/>
        <v>1640000</v>
      </c>
    </row>
    <row r="25" spans="1:16" ht="24">
      <c r="A25" s="30"/>
      <c r="B25" s="30"/>
      <c r="C25" s="30"/>
      <c r="D25" s="88" t="s">
        <v>304</v>
      </c>
      <c r="E25" s="65">
        <v>50000</v>
      </c>
      <c r="F25" s="65">
        <v>50000</v>
      </c>
      <c r="G25" s="7"/>
      <c r="H25" s="7"/>
      <c r="I25" s="7"/>
      <c r="J25" s="7"/>
      <c r="K25" s="7"/>
      <c r="L25" s="7"/>
      <c r="M25" s="7"/>
      <c r="N25" s="7"/>
      <c r="O25" s="1"/>
      <c r="P25" s="121">
        <f t="shared" si="1"/>
        <v>50000</v>
      </c>
    </row>
    <row r="26" spans="1:16" ht="24">
      <c r="A26" s="30"/>
      <c r="B26" s="30"/>
      <c r="C26" s="30"/>
      <c r="D26" s="88" t="s">
        <v>368</v>
      </c>
      <c r="E26" s="65">
        <v>20000</v>
      </c>
      <c r="F26" s="65">
        <v>20000</v>
      </c>
      <c r="G26" s="7"/>
      <c r="H26" s="7"/>
      <c r="I26" s="7"/>
      <c r="J26" s="7"/>
      <c r="K26" s="7"/>
      <c r="L26" s="7"/>
      <c r="M26" s="7"/>
      <c r="N26" s="7"/>
      <c r="O26" s="1"/>
      <c r="P26" s="121">
        <f t="shared" si="1"/>
        <v>20000</v>
      </c>
    </row>
    <row r="27" spans="1:16" ht="24">
      <c r="A27" s="30"/>
      <c r="B27" s="30"/>
      <c r="C27" s="30"/>
      <c r="D27" s="88" t="s">
        <v>339</v>
      </c>
      <c r="E27" s="65">
        <v>1000000</v>
      </c>
      <c r="F27" s="65">
        <v>1000000</v>
      </c>
      <c r="G27" s="7"/>
      <c r="H27" s="7"/>
      <c r="I27" s="7"/>
      <c r="J27" s="7"/>
      <c r="K27" s="7"/>
      <c r="L27" s="7"/>
      <c r="M27" s="7"/>
      <c r="N27" s="7"/>
      <c r="O27" s="1"/>
      <c r="P27" s="121">
        <f t="shared" si="1"/>
        <v>1000000</v>
      </c>
    </row>
    <row r="28" spans="1:16" ht="36">
      <c r="A28" s="30"/>
      <c r="B28" s="30"/>
      <c r="C28" s="30"/>
      <c r="D28" s="88" t="s">
        <v>305</v>
      </c>
      <c r="E28" s="65">
        <v>300000</v>
      </c>
      <c r="F28" s="65">
        <v>300000</v>
      </c>
      <c r="G28" s="7"/>
      <c r="H28" s="7"/>
      <c r="I28" s="7"/>
      <c r="J28" s="7"/>
      <c r="K28" s="7"/>
      <c r="L28" s="7"/>
      <c r="M28" s="7"/>
      <c r="N28" s="7"/>
      <c r="O28" s="1"/>
      <c r="P28" s="121">
        <f t="shared" si="1"/>
        <v>300000</v>
      </c>
    </row>
    <row r="29" spans="1:16" ht="36">
      <c r="A29" s="30"/>
      <c r="B29" s="30"/>
      <c r="C29" s="30"/>
      <c r="D29" s="88" t="s">
        <v>306</v>
      </c>
      <c r="E29" s="65">
        <v>75000</v>
      </c>
      <c r="F29" s="65">
        <v>75000</v>
      </c>
      <c r="G29" s="7"/>
      <c r="H29" s="7"/>
      <c r="I29" s="7"/>
      <c r="J29" s="7"/>
      <c r="K29" s="7"/>
      <c r="L29" s="7"/>
      <c r="M29" s="7"/>
      <c r="N29" s="7"/>
      <c r="O29" s="1"/>
      <c r="P29" s="121">
        <f t="shared" si="1"/>
        <v>75000</v>
      </c>
    </row>
    <row r="30" spans="1:16" ht="24">
      <c r="A30" s="30"/>
      <c r="B30" s="30"/>
      <c r="C30" s="30"/>
      <c r="D30" s="88" t="s">
        <v>307</v>
      </c>
      <c r="E30" s="65">
        <v>50000</v>
      </c>
      <c r="F30" s="65">
        <v>50000</v>
      </c>
      <c r="G30" s="7"/>
      <c r="H30" s="7"/>
      <c r="I30" s="7"/>
      <c r="J30" s="7"/>
      <c r="K30" s="7"/>
      <c r="L30" s="7"/>
      <c r="M30" s="7"/>
      <c r="N30" s="7"/>
      <c r="O30" s="1"/>
      <c r="P30" s="121">
        <f t="shared" si="1"/>
        <v>50000</v>
      </c>
    </row>
    <row r="31" spans="1:16" ht="13.5" thickBot="1">
      <c r="A31" s="67"/>
      <c r="B31" s="67"/>
      <c r="C31" s="67"/>
      <c r="D31" s="88" t="s">
        <v>308</v>
      </c>
      <c r="E31" s="166">
        <v>145000</v>
      </c>
      <c r="F31" s="166">
        <v>145000</v>
      </c>
      <c r="G31" s="60"/>
      <c r="H31" s="60"/>
      <c r="I31" s="60"/>
      <c r="J31" s="60"/>
      <c r="K31" s="60"/>
      <c r="L31" s="60"/>
      <c r="M31" s="60"/>
      <c r="N31" s="60"/>
      <c r="O31" s="167"/>
      <c r="P31" s="121">
        <f t="shared" si="1"/>
        <v>145000</v>
      </c>
    </row>
    <row r="32" spans="1:16" ht="13.5" thickBot="1">
      <c r="A32" s="89">
        <v>1000000</v>
      </c>
      <c r="B32" s="41"/>
      <c r="C32" s="42"/>
      <c r="D32" s="43" t="s">
        <v>3</v>
      </c>
      <c r="E32" s="8">
        <f>SUM(E33:E35,E37,E39,E41:E47)</f>
        <v>443673737</v>
      </c>
      <c r="F32" s="8">
        <f>SUM(F33:F35,F37,F39,F41:F47)</f>
        <v>443673737</v>
      </c>
      <c r="G32" s="8">
        <f>SUM(G33:G35,G37,G39,G41:G47)</f>
        <v>291035764</v>
      </c>
      <c r="H32" s="8">
        <f>SUM(H33:H35,H37,H39,H41:H47)</f>
        <v>60978555</v>
      </c>
      <c r="I32" s="8">
        <f>SUM(I33:I35,I37,I39,I41:I47)</f>
        <v>0</v>
      </c>
      <c r="J32" s="8">
        <f aca="true" t="shared" si="2" ref="J32:O32">SUM(J33:J47)</f>
        <v>20992261</v>
      </c>
      <c r="K32" s="8">
        <f t="shared" si="2"/>
        <v>19060702</v>
      </c>
      <c r="L32" s="8">
        <f t="shared" si="2"/>
        <v>97297</v>
      </c>
      <c r="M32" s="8">
        <f t="shared" si="2"/>
        <v>54899</v>
      </c>
      <c r="N32" s="8">
        <f t="shared" si="2"/>
        <v>1931559</v>
      </c>
      <c r="O32" s="17">
        <f t="shared" si="2"/>
        <v>1896000</v>
      </c>
      <c r="P32" s="54">
        <f t="shared" si="1"/>
        <v>464665998</v>
      </c>
    </row>
    <row r="33" spans="1:16" ht="12.75">
      <c r="A33" s="33" t="s">
        <v>58</v>
      </c>
      <c r="B33" s="33" t="s">
        <v>59</v>
      </c>
      <c r="C33" s="33" t="s">
        <v>41</v>
      </c>
      <c r="D33" s="18" t="s">
        <v>57</v>
      </c>
      <c r="E33" s="4">
        <v>1558781</v>
      </c>
      <c r="F33" s="4">
        <v>1558781</v>
      </c>
      <c r="G33" s="4">
        <v>1209430</v>
      </c>
      <c r="H33" s="4">
        <v>27976</v>
      </c>
      <c r="I33" s="4"/>
      <c r="J33" s="4"/>
      <c r="K33" s="4"/>
      <c r="L33" s="4"/>
      <c r="M33" s="4"/>
      <c r="N33" s="4"/>
      <c r="O33" s="5"/>
      <c r="P33" s="55">
        <f t="shared" si="1"/>
        <v>1558781</v>
      </c>
    </row>
    <row r="34" spans="1:16" ht="12.75">
      <c r="A34" s="29" t="s">
        <v>61</v>
      </c>
      <c r="B34" s="29" t="s">
        <v>62</v>
      </c>
      <c r="C34" s="29" t="s">
        <v>63</v>
      </c>
      <c r="D34" s="19" t="s">
        <v>60</v>
      </c>
      <c r="E34" s="7">
        <f>166071663+2353976+1200000+31106</f>
        <v>169656745</v>
      </c>
      <c r="F34" s="7">
        <f>166071663+2353976+1200000+31106</f>
        <v>169656745</v>
      </c>
      <c r="G34" s="7">
        <f>97475446+1929488</f>
        <v>99404934</v>
      </c>
      <c r="H34" s="7">
        <v>28828717</v>
      </c>
      <c r="I34" s="7"/>
      <c r="J34" s="7">
        <f>13049992+300000+200000</f>
        <v>13549992</v>
      </c>
      <c r="K34" s="7">
        <v>13042492</v>
      </c>
      <c r="L34" s="7"/>
      <c r="M34" s="7"/>
      <c r="N34" s="7">
        <f>7500+300000+200000</f>
        <v>507500</v>
      </c>
      <c r="O34" s="1">
        <f>300000+200000</f>
        <v>500000</v>
      </c>
      <c r="P34" s="55">
        <f t="shared" si="1"/>
        <v>183206737</v>
      </c>
    </row>
    <row r="35" spans="1:16" ht="51" customHeight="1">
      <c r="A35" s="29" t="s">
        <v>64</v>
      </c>
      <c r="B35" s="29" t="s">
        <v>65</v>
      </c>
      <c r="C35" s="29" t="s">
        <v>66</v>
      </c>
      <c r="D35" s="35" t="s">
        <v>285</v>
      </c>
      <c r="E35" s="1">
        <f>228871979+9800+82691+1404220+955476+214982+51</f>
        <v>231539199</v>
      </c>
      <c r="F35" s="1">
        <f>228871979+9800+82691+1404220+955476+214982+51</f>
        <v>231539199</v>
      </c>
      <c r="G35" s="7">
        <f>161611713+8033+920800+955476</f>
        <v>163496022</v>
      </c>
      <c r="H35" s="7">
        <v>26323235</v>
      </c>
      <c r="I35" s="7"/>
      <c r="J35" s="7">
        <f>5692070+700000+596000</f>
        <v>6988070</v>
      </c>
      <c r="K35" s="7">
        <v>5673770</v>
      </c>
      <c r="L35" s="7"/>
      <c r="M35" s="7"/>
      <c r="N35" s="7">
        <f>18300+700000+596000</f>
        <v>1314300</v>
      </c>
      <c r="O35" s="7">
        <f>700000+596000</f>
        <v>1296000</v>
      </c>
      <c r="P35" s="55">
        <f t="shared" si="1"/>
        <v>238527269</v>
      </c>
    </row>
    <row r="36" spans="1:16" ht="17.25" customHeight="1">
      <c r="A36" s="29"/>
      <c r="B36" s="29"/>
      <c r="C36" s="29"/>
      <c r="D36" s="165" t="s">
        <v>284</v>
      </c>
      <c r="E36" s="1">
        <f>163572520+9800+1404220+955476+214982+51</f>
        <v>166157049</v>
      </c>
      <c r="F36" s="1">
        <f>163572520+9800+1404220+955476+214982+51</f>
        <v>166157049</v>
      </c>
      <c r="G36" s="7">
        <f>134075836+8033+920800+955476</f>
        <v>135960145</v>
      </c>
      <c r="H36" s="7"/>
      <c r="I36" s="7"/>
      <c r="J36" s="7"/>
      <c r="K36" s="7"/>
      <c r="L36" s="7"/>
      <c r="M36" s="7"/>
      <c r="N36" s="7"/>
      <c r="O36" s="7"/>
      <c r="P36" s="55">
        <f t="shared" si="1"/>
        <v>166157049</v>
      </c>
    </row>
    <row r="37" spans="1:16" ht="24">
      <c r="A37" s="29" t="s">
        <v>67</v>
      </c>
      <c r="B37" s="29" t="s">
        <v>68</v>
      </c>
      <c r="C37" s="29" t="s">
        <v>66</v>
      </c>
      <c r="D37" s="35" t="s">
        <v>286</v>
      </c>
      <c r="E37" s="1">
        <f>4249087+45000+9900</f>
        <v>4303987</v>
      </c>
      <c r="F37" s="1">
        <f>4249087+45000+9900</f>
        <v>4303987</v>
      </c>
      <c r="G37" s="7">
        <f>2962083+45000</f>
        <v>3007083</v>
      </c>
      <c r="H37" s="7">
        <v>536200</v>
      </c>
      <c r="I37" s="7"/>
      <c r="J37" s="7"/>
      <c r="K37" s="7"/>
      <c r="L37" s="7"/>
      <c r="M37" s="7"/>
      <c r="N37" s="7"/>
      <c r="O37" s="1"/>
      <c r="P37" s="55">
        <f t="shared" si="1"/>
        <v>4303987</v>
      </c>
    </row>
    <row r="38" spans="1:16" ht="17.25" customHeight="1">
      <c r="A38" s="29"/>
      <c r="B38" s="29"/>
      <c r="C38" s="29"/>
      <c r="D38" s="165" t="s">
        <v>284</v>
      </c>
      <c r="E38" s="1">
        <f>2963637+45000+9900</f>
        <v>3018537</v>
      </c>
      <c r="F38" s="1">
        <f>2963637+45000+9900</f>
        <v>3018537</v>
      </c>
      <c r="G38" s="7">
        <f>2429211+45000</f>
        <v>2474211</v>
      </c>
      <c r="H38" s="7"/>
      <c r="I38" s="7"/>
      <c r="J38" s="7"/>
      <c r="K38" s="7"/>
      <c r="L38" s="7"/>
      <c r="M38" s="7"/>
      <c r="N38" s="7"/>
      <c r="O38" s="1"/>
      <c r="P38" s="55">
        <f t="shared" si="1"/>
        <v>3018537</v>
      </c>
    </row>
    <row r="39" spans="1:16" s="104" customFormat="1" ht="48">
      <c r="A39" s="29" t="s">
        <v>69</v>
      </c>
      <c r="B39" s="29" t="s">
        <v>70</v>
      </c>
      <c r="C39" s="29" t="s">
        <v>71</v>
      </c>
      <c r="D39" s="35" t="s">
        <v>302</v>
      </c>
      <c r="E39" s="1">
        <f>7416888+51720+11638</f>
        <v>7480246</v>
      </c>
      <c r="F39" s="1">
        <f>7416888+51720+11638</f>
        <v>7480246</v>
      </c>
      <c r="G39" s="1">
        <f>5457627+51720</f>
        <v>5509347</v>
      </c>
      <c r="H39" s="1">
        <v>399698</v>
      </c>
      <c r="I39" s="34"/>
      <c r="J39" s="103"/>
      <c r="K39" s="103"/>
      <c r="L39" s="34"/>
      <c r="M39" s="103"/>
      <c r="N39" s="86"/>
      <c r="O39" s="86"/>
      <c r="P39" s="55">
        <f t="shared" si="1"/>
        <v>7480246</v>
      </c>
    </row>
    <row r="40" spans="1:16" s="104" customFormat="1" ht="19.5" customHeight="1">
      <c r="A40" s="29"/>
      <c r="B40" s="29"/>
      <c r="C40" s="29"/>
      <c r="D40" s="165" t="s">
        <v>284</v>
      </c>
      <c r="E40" s="1">
        <f>5700143+51720+11638</f>
        <v>5763501</v>
      </c>
      <c r="F40" s="1">
        <f>5700143+51720+11638</f>
        <v>5763501</v>
      </c>
      <c r="G40" s="1">
        <f>4672248+51720</f>
        <v>4723968</v>
      </c>
      <c r="H40" s="1"/>
      <c r="I40" s="34"/>
      <c r="J40" s="103"/>
      <c r="K40" s="103"/>
      <c r="L40" s="34"/>
      <c r="M40" s="103"/>
      <c r="N40" s="86"/>
      <c r="O40" s="86"/>
      <c r="P40" s="55">
        <f t="shared" si="1"/>
        <v>5763501</v>
      </c>
    </row>
    <row r="41" spans="1:16" ht="24">
      <c r="A41" s="29" t="s">
        <v>72</v>
      </c>
      <c r="B41" s="29" t="s">
        <v>45</v>
      </c>
      <c r="C41" s="29" t="s">
        <v>73</v>
      </c>
      <c r="D41" s="35" t="s">
        <v>74</v>
      </c>
      <c r="E41" s="1">
        <f>9867422+864</f>
        <v>9868286</v>
      </c>
      <c r="F41" s="1">
        <f>9867422+864</f>
        <v>9868286</v>
      </c>
      <c r="G41" s="1">
        <v>6725370</v>
      </c>
      <c r="H41" s="1">
        <v>1480375</v>
      </c>
      <c r="I41" s="7"/>
      <c r="J41" s="7">
        <v>131022</v>
      </c>
      <c r="K41" s="7">
        <v>131022</v>
      </c>
      <c r="L41" s="7">
        <v>97297</v>
      </c>
      <c r="M41" s="7">
        <v>5912</v>
      </c>
      <c r="N41" s="7"/>
      <c r="O41" s="1"/>
      <c r="P41" s="55">
        <f t="shared" si="1"/>
        <v>9999308</v>
      </c>
    </row>
    <row r="42" spans="1:16" ht="24">
      <c r="A42" s="29" t="s">
        <v>75</v>
      </c>
      <c r="B42" s="29" t="s">
        <v>76</v>
      </c>
      <c r="C42" s="29" t="s">
        <v>77</v>
      </c>
      <c r="D42" s="35" t="s">
        <v>78</v>
      </c>
      <c r="E42" s="1">
        <v>1241387</v>
      </c>
      <c r="F42" s="1">
        <v>1241387</v>
      </c>
      <c r="G42" s="1">
        <v>773570</v>
      </c>
      <c r="H42" s="1">
        <v>48542</v>
      </c>
      <c r="I42" s="31"/>
      <c r="J42" s="31"/>
      <c r="K42" s="31"/>
      <c r="L42" s="31"/>
      <c r="M42" s="31"/>
      <c r="N42" s="31"/>
      <c r="O42" s="31"/>
      <c r="P42" s="55">
        <f t="shared" si="1"/>
        <v>1241387</v>
      </c>
    </row>
    <row r="43" spans="1:16" ht="12.75">
      <c r="A43" s="29" t="s">
        <v>79</v>
      </c>
      <c r="B43" s="29" t="s">
        <v>80</v>
      </c>
      <c r="C43" s="29" t="s">
        <v>77</v>
      </c>
      <c r="D43" s="19" t="s">
        <v>81</v>
      </c>
      <c r="E43" s="1">
        <v>3174855</v>
      </c>
      <c r="F43" s="1">
        <v>3174855</v>
      </c>
      <c r="G43" s="1">
        <v>2293807</v>
      </c>
      <c r="H43" s="1">
        <v>126270</v>
      </c>
      <c r="I43" s="1"/>
      <c r="J43" s="1"/>
      <c r="K43" s="1"/>
      <c r="L43" s="1"/>
      <c r="M43" s="1"/>
      <c r="N43" s="1"/>
      <c r="O43" s="1"/>
      <c r="P43" s="55">
        <f t="shared" si="1"/>
        <v>3174855</v>
      </c>
    </row>
    <row r="44" spans="1:16" ht="12.75">
      <c r="A44" s="29" t="s">
        <v>82</v>
      </c>
      <c r="B44" s="29" t="s">
        <v>83</v>
      </c>
      <c r="C44" s="29" t="s">
        <v>77</v>
      </c>
      <c r="D44" s="19" t="s">
        <v>84</v>
      </c>
      <c r="E44" s="1">
        <f>3339690+370</f>
        <v>3340060</v>
      </c>
      <c r="F44" s="1">
        <f>3339690+370</f>
        <v>3340060</v>
      </c>
      <c r="G44" s="1">
        <v>2417693</v>
      </c>
      <c r="H44" s="1">
        <v>369373</v>
      </c>
      <c r="I44" s="1"/>
      <c r="J44" s="1"/>
      <c r="K44" s="1"/>
      <c r="L44" s="1"/>
      <c r="M44" s="1"/>
      <c r="N44" s="1"/>
      <c r="O44" s="1"/>
      <c r="P44" s="55">
        <f t="shared" si="1"/>
        <v>3340060</v>
      </c>
    </row>
    <row r="45" spans="1:16" ht="24">
      <c r="A45" s="29" t="s">
        <v>85</v>
      </c>
      <c r="B45" s="29" t="s">
        <v>86</v>
      </c>
      <c r="C45" s="29" t="s">
        <v>77</v>
      </c>
      <c r="D45" s="35" t="s">
        <v>309</v>
      </c>
      <c r="E45" s="1">
        <v>180000</v>
      </c>
      <c r="F45" s="1">
        <v>180000</v>
      </c>
      <c r="G45" s="1"/>
      <c r="H45" s="1"/>
      <c r="I45" s="1"/>
      <c r="J45" s="1"/>
      <c r="K45" s="1"/>
      <c r="L45" s="1"/>
      <c r="M45" s="1"/>
      <c r="N45" s="1"/>
      <c r="O45" s="1"/>
      <c r="P45" s="55">
        <f t="shared" si="1"/>
        <v>180000</v>
      </c>
    </row>
    <row r="46" spans="1:16" ht="24">
      <c r="A46" s="105" t="s">
        <v>87</v>
      </c>
      <c r="B46" s="105" t="s">
        <v>88</v>
      </c>
      <c r="C46" s="81" t="s">
        <v>77</v>
      </c>
      <c r="D46" s="106" t="s">
        <v>89</v>
      </c>
      <c r="E46" s="48">
        <v>90500</v>
      </c>
      <c r="F46" s="48">
        <v>90500</v>
      </c>
      <c r="G46" s="48"/>
      <c r="H46" s="48"/>
      <c r="I46" s="48"/>
      <c r="J46" s="48"/>
      <c r="K46" s="48"/>
      <c r="L46" s="48"/>
      <c r="M46" s="48"/>
      <c r="N46" s="48"/>
      <c r="O46" s="48"/>
      <c r="P46" s="55">
        <f t="shared" si="1"/>
        <v>90500</v>
      </c>
    </row>
    <row r="47" spans="1:16" ht="24.75" thickBot="1">
      <c r="A47" s="81" t="s">
        <v>299</v>
      </c>
      <c r="B47" s="81" t="s">
        <v>274</v>
      </c>
      <c r="C47" s="81" t="s">
        <v>91</v>
      </c>
      <c r="D47" s="66" t="s">
        <v>92</v>
      </c>
      <c r="E47" s="6">
        <f>11129522+110000+169</f>
        <v>11239691</v>
      </c>
      <c r="F47" s="6">
        <f>11129522+110000+169</f>
        <v>11239691</v>
      </c>
      <c r="G47" s="6">
        <f>6258208-59700</f>
        <v>6198508</v>
      </c>
      <c r="H47" s="6">
        <v>2838169</v>
      </c>
      <c r="I47" s="6"/>
      <c r="J47" s="6">
        <f>223177+100000</f>
        <v>323177</v>
      </c>
      <c r="K47" s="6">
        <v>213418</v>
      </c>
      <c r="L47" s="6"/>
      <c r="M47" s="6">
        <v>48987</v>
      </c>
      <c r="N47" s="6">
        <f>9759+100000</f>
        <v>109759</v>
      </c>
      <c r="O47" s="6">
        <v>100000</v>
      </c>
      <c r="P47" s="102">
        <f t="shared" si="1"/>
        <v>11562868</v>
      </c>
    </row>
    <row r="48" spans="1:16" ht="13.5" thickBot="1">
      <c r="A48" s="89">
        <v>1100000</v>
      </c>
      <c r="B48" s="37"/>
      <c r="C48" s="38"/>
      <c r="D48" s="39" t="s">
        <v>2</v>
      </c>
      <c r="E48" s="8">
        <f>SUM(E49:E56)</f>
        <v>10010279</v>
      </c>
      <c r="F48" s="8">
        <f aca="true" t="shared" si="3" ref="F48:O48">SUM(F49:F56)</f>
        <v>10010279</v>
      </c>
      <c r="G48" s="8">
        <f t="shared" si="3"/>
        <v>5961184</v>
      </c>
      <c r="H48" s="8">
        <f t="shared" si="3"/>
        <v>839326</v>
      </c>
      <c r="I48" s="8">
        <f t="shared" si="3"/>
        <v>0</v>
      </c>
      <c r="J48" s="8">
        <f t="shared" si="3"/>
        <v>104703</v>
      </c>
      <c r="K48" s="8">
        <f t="shared" si="3"/>
        <v>104703</v>
      </c>
      <c r="L48" s="8">
        <f t="shared" si="3"/>
        <v>0</v>
      </c>
      <c r="M48" s="8">
        <f t="shared" si="3"/>
        <v>94377</v>
      </c>
      <c r="N48" s="8">
        <f t="shared" si="3"/>
        <v>0</v>
      </c>
      <c r="O48" s="17">
        <f t="shared" si="3"/>
        <v>0</v>
      </c>
      <c r="P48" s="54">
        <f t="shared" si="1"/>
        <v>10114982</v>
      </c>
    </row>
    <row r="49" spans="1:16" ht="12.75">
      <c r="A49" s="36" t="s">
        <v>93</v>
      </c>
      <c r="B49" s="36" t="s">
        <v>59</v>
      </c>
      <c r="C49" s="36" t="s">
        <v>41</v>
      </c>
      <c r="D49" s="18" t="s">
        <v>94</v>
      </c>
      <c r="E49" s="5">
        <v>722062</v>
      </c>
      <c r="F49" s="5">
        <v>722062</v>
      </c>
      <c r="G49" s="5">
        <v>529830</v>
      </c>
      <c r="H49" s="5">
        <v>42429</v>
      </c>
      <c r="I49" s="5"/>
      <c r="J49" s="5"/>
      <c r="K49" s="5"/>
      <c r="L49" s="5"/>
      <c r="M49" s="5"/>
      <c r="N49" s="5"/>
      <c r="O49" s="5"/>
      <c r="P49" s="55">
        <f t="shared" si="1"/>
        <v>722062</v>
      </c>
    </row>
    <row r="50" spans="1:16" ht="12.75">
      <c r="A50" s="30" t="s">
        <v>95</v>
      </c>
      <c r="B50" s="30" t="s">
        <v>96</v>
      </c>
      <c r="C50" s="30" t="s">
        <v>97</v>
      </c>
      <c r="D50" s="11" t="s">
        <v>98</v>
      </c>
      <c r="E50" s="1">
        <v>1720430</v>
      </c>
      <c r="F50" s="1">
        <v>1720430</v>
      </c>
      <c r="G50" s="1">
        <v>1301839</v>
      </c>
      <c r="H50" s="1">
        <v>50784</v>
      </c>
      <c r="I50" s="1"/>
      <c r="J50" s="1"/>
      <c r="K50" s="1"/>
      <c r="L50" s="1"/>
      <c r="M50" s="1"/>
      <c r="N50" s="1"/>
      <c r="O50" s="1"/>
      <c r="P50" s="55">
        <f t="shared" si="1"/>
        <v>1720430</v>
      </c>
    </row>
    <row r="51" spans="1:16" ht="15.75" customHeight="1">
      <c r="A51" s="30" t="s">
        <v>99</v>
      </c>
      <c r="B51" s="30" t="s">
        <v>100</v>
      </c>
      <c r="C51" s="30" t="s">
        <v>97</v>
      </c>
      <c r="D51" s="66" t="s">
        <v>17</v>
      </c>
      <c r="E51" s="1">
        <v>10000</v>
      </c>
      <c r="F51" s="1">
        <v>10000</v>
      </c>
      <c r="G51" s="1"/>
      <c r="H51" s="1"/>
      <c r="I51" s="1"/>
      <c r="J51" s="1"/>
      <c r="K51" s="1"/>
      <c r="L51" s="1"/>
      <c r="M51" s="1"/>
      <c r="N51" s="1"/>
      <c r="O51" s="1"/>
      <c r="P51" s="55">
        <f t="shared" si="1"/>
        <v>10000</v>
      </c>
    </row>
    <row r="52" spans="1:16" ht="26.25" customHeight="1">
      <c r="A52" s="30" t="s">
        <v>292</v>
      </c>
      <c r="B52" s="30" t="s">
        <v>293</v>
      </c>
      <c r="C52" s="30" t="s">
        <v>97</v>
      </c>
      <c r="D52" s="66" t="s">
        <v>311</v>
      </c>
      <c r="E52" s="1">
        <v>745000</v>
      </c>
      <c r="F52" s="1">
        <v>745000</v>
      </c>
      <c r="G52" s="1"/>
      <c r="H52" s="1"/>
      <c r="I52" s="1"/>
      <c r="J52" s="1"/>
      <c r="K52" s="1"/>
      <c r="L52" s="1"/>
      <c r="M52" s="1"/>
      <c r="N52" s="1"/>
      <c r="O52" s="1"/>
      <c r="P52" s="55">
        <f t="shared" si="1"/>
        <v>745000</v>
      </c>
    </row>
    <row r="53" spans="1:16" ht="12.75">
      <c r="A53" s="30" t="s">
        <v>294</v>
      </c>
      <c r="B53" s="30" t="s">
        <v>295</v>
      </c>
      <c r="C53" s="30" t="s">
        <v>97</v>
      </c>
      <c r="D53" s="11" t="s">
        <v>296</v>
      </c>
      <c r="E53" s="1">
        <v>5488277</v>
      </c>
      <c r="F53" s="1">
        <v>5488277</v>
      </c>
      <c r="G53" s="1">
        <f>3679456-32900</f>
        <v>3646556</v>
      </c>
      <c r="H53" s="1">
        <v>706873</v>
      </c>
      <c r="I53" s="1"/>
      <c r="J53" s="1">
        <f>SUM(K53,N53)</f>
        <v>104703</v>
      </c>
      <c r="K53" s="1">
        <v>104703</v>
      </c>
      <c r="L53" s="1"/>
      <c r="M53" s="1">
        <v>94377</v>
      </c>
      <c r="N53" s="1"/>
      <c r="O53" s="1"/>
      <c r="P53" s="55">
        <f t="shared" si="1"/>
        <v>5592980</v>
      </c>
    </row>
    <row r="54" spans="1:16" ht="24" customHeight="1">
      <c r="A54" s="30" t="s">
        <v>101</v>
      </c>
      <c r="B54" s="30" t="s">
        <v>102</v>
      </c>
      <c r="C54" s="30" t="s">
        <v>97</v>
      </c>
      <c r="D54" s="66" t="s">
        <v>310</v>
      </c>
      <c r="E54" s="1">
        <v>207954</v>
      </c>
      <c r="F54" s="1">
        <v>207954</v>
      </c>
      <c r="G54" s="1"/>
      <c r="H54" s="1"/>
      <c r="I54" s="1"/>
      <c r="J54" s="1"/>
      <c r="K54" s="1"/>
      <c r="L54" s="1"/>
      <c r="M54" s="1"/>
      <c r="N54" s="1"/>
      <c r="O54" s="1"/>
      <c r="P54" s="55">
        <f t="shared" si="1"/>
        <v>207954</v>
      </c>
    </row>
    <row r="55" spans="1:16" ht="36.75" customHeight="1">
      <c r="A55" s="30" t="s">
        <v>103</v>
      </c>
      <c r="B55" s="30" t="s">
        <v>104</v>
      </c>
      <c r="C55" s="30" t="s">
        <v>97</v>
      </c>
      <c r="D55" s="66" t="s">
        <v>105</v>
      </c>
      <c r="E55" s="1">
        <v>455000</v>
      </c>
      <c r="F55" s="1">
        <v>455000</v>
      </c>
      <c r="G55" s="1"/>
      <c r="H55" s="1"/>
      <c r="I55" s="1"/>
      <c r="J55" s="1"/>
      <c r="K55" s="1"/>
      <c r="L55" s="1"/>
      <c r="M55" s="1"/>
      <c r="N55" s="1"/>
      <c r="O55" s="1"/>
      <c r="P55" s="55">
        <f t="shared" si="1"/>
        <v>455000</v>
      </c>
    </row>
    <row r="56" spans="1:16" ht="24.75" thickBot="1">
      <c r="A56" s="32" t="s">
        <v>255</v>
      </c>
      <c r="B56" s="32" t="s">
        <v>45</v>
      </c>
      <c r="C56" s="32" t="s">
        <v>73</v>
      </c>
      <c r="D56" s="35" t="s">
        <v>74</v>
      </c>
      <c r="E56" s="6">
        <v>661556</v>
      </c>
      <c r="F56" s="6">
        <v>661556</v>
      </c>
      <c r="G56" s="6">
        <v>482959</v>
      </c>
      <c r="H56" s="6">
        <v>39240</v>
      </c>
      <c r="I56" s="6"/>
      <c r="J56" s="107"/>
      <c r="K56" s="107"/>
      <c r="L56" s="107"/>
      <c r="M56" s="107"/>
      <c r="N56" s="107"/>
      <c r="O56" s="107"/>
      <c r="P56" s="102">
        <f t="shared" si="1"/>
        <v>661556</v>
      </c>
    </row>
    <row r="57" spans="1:16" ht="13.5" thickBot="1">
      <c r="A57" s="89">
        <v>1300000</v>
      </c>
      <c r="B57" s="37"/>
      <c r="C57" s="38"/>
      <c r="D57" s="39" t="s">
        <v>10</v>
      </c>
      <c r="E57" s="8">
        <f>SUM(E58:E65)</f>
        <v>15324652</v>
      </c>
      <c r="F57" s="8">
        <f>SUM(F58:F65)</f>
        <v>15324652</v>
      </c>
      <c r="G57" s="8">
        <f aca="true" t="shared" si="4" ref="G57:O57">SUM(G58:G65)</f>
        <v>8299223</v>
      </c>
      <c r="H57" s="8">
        <f t="shared" si="4"/>
        <v>1745189</v>
      </c>
      <c r="I57" s="8">
        <f t="shared" si="4"/>
        <v>0</v>
      </c>
      <c r="J57" s="8">
        <f t="shared" si="4"/>
        <v>363368</v>
      </c>
      <c r="K57" s="8">
        <f t="shared" si="4"/>
        <v>163368</v>
      </c>
      <c r="L57" s="8">
        <f t="shared" si="4"/>
        <v>0</v>
      </c>
      <c r="M57" s="8">
        <f t="shared" si="4"/>
        <v>18416</v>
      </c>
      <c r="N57" s="8">
        <f t="shared" si="4"/>
        <v>200000</v>
      </c>
      <c r="O57" s="8">
        <f t="shared" si="4"/>
        <v>200000</v>
      </c>
      <c r="P57" s="54">
        <f>SUM(E57,J57)</f>
        <v>15688020</v>
      </c>
    </row>
    <row r="58" spans="1:16" ht="18" customHeight="1">
      <c r="A58" s="36" t="s">
        <v>263</v>
      </c>
      <c r="B58" s="33" t="s">
        <v>59</v>
      </c>
      <c r="C58" s="33" t="s">
        <v>41</v>
      </c>
      <c r="D58" s="18" t="s">
        <v>264</v>
      </c>
      <c r="E58" s="1">
        <v>976624</v>
      </c>
      <c r="F58" s="1">
        <v>976624</v>
      </c>
      <c r="G58" s="1">
        <v>682202</v>
      </c>
      <c r="H58" s="1">
        <v>53207</v>
      </c>
      <c r="I58" s="49"/>
      <c r="J58" s="170">
        <v>200000</v>
      </c>
      <c r="K58" s="170"/>
      <c r="L58" s="170"/>
      <c r="M58" s="170"/>
      <c r="N58" s="170">
        <v>200000</v>
      </c>
      <c r="O58" s="171">
        <v>200000</v>
      </c>
      <c r="P58" s="55">
        <f t="shared" si="1"/>
        <v>1176624</v>
      </c>
    </row>
    <row r="59" spans="1:16" ht="24">
      <c r="A59" s="30" t="s">
        <v>106</v>
      </c>
      <c r="B59" s="30" t="s">
        <v>108</v>
      </c>
      <c r="C59" s="30" t="s">
        <v>91</v>
      </c>
      <c r="D59" s="66" t="s">
        <v>107</v>
      </c>
      <c r="E59" s="1">
        <f>450000+50000</f>
        <v>500000</v>
      </c>
      <c r="F59" s="1">
        <f>450000+50000</f>
        <v>500000</v>
      </c>
      <c r="G59" s="1"/>
      <c r="H59" s="1"/>
      <c r="I59" s="1"/>
      <c r="J59" s="1"/>
      <c r="K59" s="1"/>
      <c r="L59" s="1"/>
      <c r="M59" s="1"/>
      <c r="N59" s="1"/>
      <c r="O59" s="1"/>
      <c r="P59" s="55">
        <f t="shared" si="1"/>
        <v>500000</v>
      </c>
    </row>
    <row r="60" spans="1:16" ht="24">
      <c r="A60" s="30" t="s">
        <v>110</v>
      </c>
      <c r="B60" s="30" t="s">
        <v>111</v>
      </c>
      <c r="C60" s="30" t="s">
        <v>91</v>
      </c>
      <c r="D60" s="66" t="s">
        <v>112</v>
      </c>
      <c r="E60" s="1">
        <v>200000</v>
      </c>
      <c r="F60" s="1">
        <v>200000</v>
      </c>
      <c r="G60" s="1"/>
      <c r="H60" s="1"/>
      <c r="I60" s="1"/>
      <c r="J60" s="1"/>
      <c r="K60" s="1"/>
      <c r="L60" s="1"/>
      <c r="M60" s="1"/>
      <c r="N60" s="1"/>
      <c r="O60" s="1"/>
      <c r="P60" s="55">
        <f t="shared" si="1"/>
        <v>200000</v>
      </c>
    </row>
    <row r="61" spans="1:16" ht="24">
      <c r="A61" s="30" t="s">
        <v>109</v>
      </c>
      <c r="B61" s="30" t="s">
        <v>90</v>
      </c>
      <c r="C61" s="30" t="s">
        <v>91</v>
      </c>
      <c r="D61" s="66" t="s">
        <v>113</v>
      </c>
      <c r="E61" s="1">
        <v>10000</v>
      </c>
      <c r="F61" s="1">
        <v>10000</v>
      </c>
      <c r="G61" s="1"/>
      <c r="H61" s="1"/>
      <c r="I61" s="1"/>
      <c r="J61" s="1"/>
      <c r="K61" s="1"/>
      <c r="L61" s="1"/>
      <c r="M61" s="1"/>
      <c r="N61" s="1"/>
      <c r="O61" s="1"/>
      <c r="P61" s="55">
        <f t="shared" si="1"/>
        <v>10000</v>
      </c>
    </row>
    <row r="62" spans="1:16" ht="24">
      <c r="A62" s="30" t="s">
        <v>273</v>
      </c>
      <c r="B62" s="30" t="s">
        <v>274</v>
      </c>
      <c r="C62" s="30" t="s">
        <v>91</v>
      </c>
      <c r="D62" s="66" t="s">
        <v>92</v>
      </c>
      <c r="E62" s="1">
        <f>11622591+41500+220000</f>
        <v>11884091</v>
      </c>
      <c r="F62" s="1">
        <f>11622591+41500+220000</f>
        <v>11884091</v>
      </c>
      <c r="G62" s="1">
        <v>7384317</v>
      </c>
      <c r="H62" s="1">
        <v>1633724</v>
      </c>
      <c r="I62" s="1"/>
      <c r="J62" s="1">
        <v>163368</v>
      </c>
      <c r="K62" s="1">
        <v>163368</v>
      </c>
      <c r="L62" s="1"/>
      <c r="M62" s="1">
        <v>18416</v>
      </c>
      <c r="N62" s="1"/>
      <c r="O62" s="1"/>
      <c r="P62" s="55">
        <f>SUM(E62,J62)</f>
        <v>12047459</v>
      </c>
    </row>
    <row r="63" spans="1:16" ht="12.75">
      <c r="A63" s="30" t="s">
        <v>275</v>
      </c>
      <c r="B63" s="30" t="s">
        <v>276</v>
      </c>
      <c r="C63" s="30" t="s">
        <v>91</v>
      </c>
      <c r="D63" s="11" t="s">
        <v>277</v>
      </c>
      <c r="E63" s="1">
        <v>1200000</v>
      </c>
      <c r="F63" s="1">
        <v>1200000</v>
      </c>
      <c r="G63" s="1"/>
      <c r="H63" s="1"/>
      <c r="I63" s="1"/>
      <c r="J63" s="1"/>
      <c r="K63" s="1"/>
      <c r="L63" s="1"/>
      <c r="M63" s="1"/>
      <c r="N63" s="1"/>
      <c r="O63" s="1"/>
      <c r="P63" s="55">
        <f t="shared" si="1"/>
        <v>1200000</v>
      </c>
    </row>
    <row r="64" spans="1:16" ht="24">
      <c r="A64" s="30" t="s">
        <v>279</v>
      </c>
      <c r="B64" s="30" t="s">
        <v>278</v>
      </c>
      <c r="C64" s="30" t="s">
        <v>91</v>
      </c>
      <c r="D64" s="66" t="s">
        <v>283</v>
      </c>
      <c r="E64" s="1">
        <v>93600</v>
      </c>
      <c r="F64" s="1">
        <v>93600</v>
      </c>
      <c r="G64" s="1"/>
      <c r="H64" s="1"/>
      <c r="I64" s="1"/>
      <c r="J64" s="1"/>
      <c r="K64" s="1"/>
      <c r="L64" s="1"/>
      <c r="M64" s="1"/>
      <c r="N64" s="1"/>
      <c r="O64" s="1"/>
      <c r="P64" s="55">
        <f t="shared" si="1"/>
        <v>93600</v>
      </c>
    </row>
    <row r="65" spans="1:16" ht="40.5" customHeight="1" thickBot="1">
      <c r="A65" s="32" t="s">
        <v>281</v>
      </c>
      <c r="B65" s="32" t="s">
        <v>280</v>
      </c>
      <c r="C65" s="32" t="s">
        <v>91</v>
      </c>
      <c r="D65" s="82" t="s">
        <v>282</v>
      </c>
      <c r="E65" s="6">
        <f>440337+20000</f>
        <v>460337</v>
      </c>
      <c r="F65" s="6">
        <f>440337+20000</f>
        <v>460337</v>
      </c>
      <c r="G65" s="6">
        <v>232704</v>
      </c>
      <c r="H65" s="6">
        <v>58258</v>
      </c>
      <c r="I65" s="6"/>
      <c r="J65" s="6"/>
      <c r="K65" s="6"/>
      <c r="L65" s="6"/>
      <c r="M65" s="6"/>
      <c r="N65" s="6"/>
      <c r="O65" s="6"/>
      <c r="P65" s="102">
        <f t="shared" si="1"/>
        <v>460337</v>
      </c>
    </row>
    <row r="66" spans="1:16" ht="13.5" thickBot="1">
      <c r="A66" s="89">
        <v>1400000</v>
      </c>
      <c r="B66" s="37"/>
      <c r="C66" s="38"/>
      <c r="D66" s="39" t="s">
        <v>13</v>
      </c>
      <c r="E66" s="8">
        <f>SUM(E67:E68,E70,E72,E74,E76,E81,E82)</f>
        <v>272450797</v>
      </c>
      <c r="F66" s="8">
        <f>SUM(F67:F68,F70,F72,F74,F76,F81,F82)</f>
        <v>272450797</v>
      </c>
      <c r="G66" s="8">
        <f>SUM(G67:G68,G70,G72,G74,G76,G81,G82)</f>
        <v>1398870</v>
      </c>
      <c r="H66" s="8">
        <f>SUM(H67:H68,H70,H72,H74,H76,H81,H82)</f>
        <v>122223</v>
      </c>
      <c r="I66" s="8">
        <f>SUM(I67:I68,I70,I72,I74,I76:I82)</f>
        <v>0</v>
      </c>
      <c r="J66" s="8">
        <f aca="true" t="shared" si="5" ref="J66:O66">SUM(J67:J82)</f>
        <v>8070082</v>
      </c>
      <c r="K66" s="8">
        <f t="shared" si="5"/>
        <v>4403081</v>
      </c>
      <c r="L66" s="8">
        <f t="shared" si="5"/>
        <v>0</v>
      </c>
      <c r="M66" s="8">
        <f t="shared" si="5"/>
        <v>0</v>
      </c>
      <c r="N66" s="8">
        <f t="shared" si="5"/>
        <v>3667001</v>
      </c>
      <c r="O66" s="8">
        <f t="shared" si="5"/>
        <v>3436000</v>
      </c>
      <c r="P66" s="54">
        <f t="shared" si="1"/>
        <v>280520879</v>
      </c>
    </row>
    <row r="67" spans="1:16" ht="12.75">
      <c r="A67" s="33" t="s">
        <v>114</v>
      </c>
      <c r="B67" s="33" t="s">
        <v>59</v>
      </c>
      <c r="C67" s="33" t="s">
        <v>41</v>
      </c>
      <c r="D67" s="18" t="s">
        <v>115</v>
      </c>
      <c r="E67" s="5">
        <v>1929069</v>
      </c>
      <c r="F67" s="5">
        <v>1929069</v>
      </c>
      <c r="G67" s="5">
        <v>1398870</v>
      </c>
      <c r="H67" s="5">
        <v>122223</v>
      </c>
      <c r="I67" s="5"/>
      <c r="J67" s="58">
        <v>1080</v>
      </c>
      <c r="K67" s="58">
        <v>1080</v>
      </c>
      <c r="L67" s="5"/>
      <c r="M67" s="5"/>
      <c r="N67" s="5"/>
      <c r="O67" s="5"/>
      <c r="P67" s="55">
        <f t="shared" si="1"/>
        <v>1930149</v>
      </c>
    </row>
    <row r="68" spans="1:16" ht="12.75">
      <c r="A68" s="29" t="s">
        <v>116</v>
      </c>
      <c r="B68" s="29" t="s">
        <v>117</v>
      </c>
      <c r="C68" s="29" t="s">
        <v>118</v>
      </c>
      <c r="D68" s="19" t="s">
        <v>287</v>
      </c>
      <c r="E68" s="1">
        <f>178838168+163000-117120+1774200</f>
        <v>180658248</v>
      </c>
      <c r="F68" s="1">
        <f>178838168+163000-117120+1774200</f>
        <v>180658248</v>
      </c>
      <c r="G68" s="1"/>
      <c r="H68" s="1"/>
      <c r="I68" s="1"/>
      <c r="J68" s="1">
        <f>3452277+60000</f>
        <v>3512277</v>
      </c>
      <c r="K68" s="1">
        <v>3250276</v>
      </c>
      <c r="L68" s="1"/>
      <c r="M68" s="1"/>
      <c r="N68" s="1">
        <f>202001+60000</f>
        <v>262001</v>
      </c>
      <c r="O68" s="1">
        <v>60000</v>
      </c>
      <c r="P68" s="55">
        <f t="shared" si="1"/>
        <v>184170525</v>
      </c>
    </row>
    <row r="69" spans="1:16" s="161" customFormat="1" ht="12.75">
      <c r="A69" s="157"/>
      <c r="B69" s="157"/>
      <c r="C69" s="157"/>
      <c r="D69" s="158" t="s">
        <v>288</v>
      </c>
      <c r="E69" s="159">
        <f>104580876+163000+1774200-117120</f>
        <v>106400956</v>
      </c>
      <c r="F69" s="159">
        <f>104580876+163000+1774200-117120</f>
        <v>106400956</v>
      </c>
      <c r="G69" s="159"/>
      <c r="H69" s="159"/>
      <c r="I69" s="159"/>
      <c r="J69" s="159"/>
      <c r="K69" s="159"/>
      <c r="L69" s="159"/>
      <c r="M69" s="159"/>
      <c r="N69" s="159"/>
      <c r="O69" s="159"/>
      <c r="P69" s="160"/>
    </row>
    <row r="70" spans="1:16" s="24" customFormat="1" ht="24">
      <c r="A70" s="29" t="s">
        <v>119</v>
      </c>
      <c r="B70" s="29" t="s">
        <v>120</v>
      </c>
      <c r="C70" s="29" t="s">
        <v>121</v>
      </c>
      <c r="D70" s="35" t="s">
        <v>289</v>
      </c>
      <c r="E70" s="59">
        <v>31028520</v>
      </c>
      <c r="F70" s="59">
        <v>31028520</v>
      </c>
      <c r="G70" s="59"/>
      <c r="H70" s="7"/>
      <c r="I70" s="59"/>
      <c r="J70" s="59">
        <v>994861</v>
      </c>
      <c r="K70" s="59">
        <v>994861</v>
      </c>
      <c r="L70" s="59"/>
      <c r="M70" s="59"/>
      <c r="N70" s="59"/>
      <c r="O70" s="1"/>
      <c r="P70" s="55">
        <f t="shared" si="1"/>
        <v>32023381</v>
      </c>
    </row>
    <row r="71" spans="1:16" s="163" customFormat="1" ht="12.75">
      <c r="A71" s="157"/>
      <c r="B71" s="157"/>
      <c r="C71" s="157"/>
      <c r="D71" s="158" t="s">
        <v>288</v>
      </c>
      <c r="E71" s="162">
        <v>26096657</v>
      </c>
      <c r="F71" s="162">
        <v>26096657</v>
      </c>
      <c r="G71" s="162"/>
      <c r="H71" s="159"/>
      <c r="I71" s="162"/>
      <c r="J71" s="162"/>
      <c r="K71" s="162"/>
      <c r="L71" s="162"/>
      <c r="M71" s="162"/>
      <c r="N71" s="162"/>
      <c r="O71" s="159"/>
      <c r="P71" s="160"/>
    </row>
    <row r="72" spans="1:16" ht="12.75">
      <c r="A72" s="29" t="s">
        <v>122</v>
      </c>
      <c r="B72" s="29" t="s">
        <v>123</v>
      </c>
      <c r="C72" s="29" t="s">
        <v>124</v>
      </c>
      <c r="D72" s="19" t="s">
        <v>290</v>
      </c>
      <c r="E72" s="2">
        <v>6525559</v>
      </c>
      <c r="F72" s="2">
        <v>6525559</v>
      </c>
      <c r="G72" s="2"/>
      <c r="H72" s="2"/>
      <c r="I72" s="2"/>
      <c r="J72" s="2"/>
      <c r="K72" s="2"/>
      <c r="L72" s="2"/>
      <c r="M72" s="2"/>
      <c r="N72" s="2"/>
      <c r="O72" s="108"/>
      <c r="P72" s="55">
        <f t="shared" si="1"/>
        <v>6525559</v>
      </c>
    </row>
    <row r="73" spans="1:16" s="161" customFormat="1" ht="12.75">
      <c r="A73" s="157"/>
      <c r="B73" s="157"/>
      <c r="C73" s="157"/>
      <c r="D73" s="158" t="s">
        <v>288</v>
      </c>
      <c r="E73" s="164">
        <v>5733553</v>
      </c>
      <c r="F73" s="164">
        <v>5733553</v>
      </c>
      <c r="G73" s="164"/>
      <c r="H73" s="164"/>
      <c r="I73" s="164"/>
      <c r="J73" s="164"/>
      <c r="K73" s="164"/>
      <c r="L73" s="164"/>
      <c r="M73" s="164"/>
      <c r="N73" s="164"/>
      <c r="O73" s="164"/>
      <c r="P73" s="160"/>
    </row>
    <row r="74" spans="1:16" ht="12.75">
      <c r="A74" s="29" t="s">
        <v>125</v>
      </c>
      <c r="B74" s="29" t="s">
        <v>126</v>
      </c>
      <c r="C74" s="29" t="s">
        <v>127</v>
      </c>
      <c r="D74" s="19" t="s">
        <v>291</v>
      </c>
      <c r="E74" s="2">
        <f>43366706+82000+1058279+117120+635300+48619</f>
        <v>45308024</v>
      </c>
      <c r="F74" s="2">
        <f>43366706+82000+1058279+117120+635300+48619</f>
        <v>45308024</v>
      </c>
      <c r="G74" s="2"/>
      <c r="H74" s="2"/>
      <c r="I74" s="2"/>
      <c r="J74" s="2">
        <f>52872+3076000</f>
        <v>3128872</v>
      </c>
      <c r="K74" s="2">
        <v>40872</v>
      </c>
      <c r="L74" s="2"/>
      <c r="M74" s="2"/>
      <c r="N74" s="2">
        <f>12000+3076000</f>
        <v>3088000</v>
      </c>
      <c r="O74" s="108">
        <v>3076000</v>
      </c>
      <c r="P74" s="55">
        <f t="shared" si="1"/>
        <v>48436896</v>
      </c>
    </row>
    <row r="75" spans="1:16" s="161" customFormat="1" ht="12.75">
      <c r="A75" s="157"/>
      <c r="B75" s="157"/>
      <c r="C75" s="157"/>
      <c r="D75" s="158" t="s">
        <v>288</v>
      </c>
      <c r="E75" s="164">
        <f>36621814+1058279+635300+117120</f>
        <v>38432513</v>
      </c>
      <c r="F75" s="164">
        <f>36621814+1058279+635300+117120</f>
        <v>38432513</v>
      </c>
      <c r="G75" s="164"/>
      <c r="H75" s="164"/>
      <c r="I75" s="164"/>
      <c r="J75" s="164"/>
      <c r="K75" s="164"/>
      <c r="L75" s="164"/>
      <c r="M75" s="164"/>
      <c r="N75" s="164"/>
      <c r="O75" s="164"/>
      <c r="P75" s="160"/>
    </row>
    <row r="76" spans="1:16" ht="12.75">
      <c r="A76" s="29" t="s">
        <v>128</v>
      </c>
      <c r="B76" s="29" t="s">
        <v>129</v>
      </c>
      <c r="C76" s="29" t="s">
        <v>130</v>
      </c>
      <c r="D76" s="19" t="s">
        <v>258</v>
      </c>
      <c r="E76" s="169">
        <f>3349096-48619</f>
        <v>3300477</v>
      </c>
      <c r="F76" s="169">
        <f>3349096-48619</f>
        <v>3300477</v>
      </c>
      <c r="G76" s="2"/>
      <c r="H76" s="2"/>
      <c r="I76" s="2"/>
      <c r="J76" s="2">
        <v>132992</v>
      </c>
      <c r="K76" s="2">
        <v>115992</v>
      </c>
      <c r="L76" s="2"/>
      <c r="M76" s="2"/>
      <c r="N76" s="2">
        <v>17000</v>
      </c>
      <c r="O76" s="108"/>
      <c r="P76" s="55">
        <f t="shared" si="1"/>
        <v>3433469</v>
      </c>
    </row>
    <row r="77" spans="1:16" ht="12.75">
      <c r="A77" s="29"/>
      <c r="B77" s="29"/>
      <c r="C77" s="29"/>
      <c r="D77" s="19" t="s">
        <v>315</v>
      </c>
      <c r="E77" s="2">
        <v>378000</v>
      </c>
      <c r="F77" s="2">
        <v>378000</v>
      </c>
      <c r="G77" s="2"/>
      <c r="H77" s="2"/>
      <c r="I77" s="2"/>
      <c r="J77" s="2"/>
      <c r="K77" s="2"/>
      <c r="L77" s="2"/>
      <c r="M77" s="2"/>
      <c r="N77" s="2"/>
      <c r="O77" s="108"/>
      <c r="P77" s="55"/>
    </row>
    <row r="78" spans="1:16" ht="12.75">
      <c r="A78" s="29"/>
      <c r="B78" s="29"/>
      <c r="C78" s="29"/>
      <c r="D78" s="19" t="s">
        <v>316</v>
      </c>
      <c r="E78" s="2">
        <v>2766211</v>
      </c>
      <c r="F78" s="2">
        <v>2766211</v>
      </c>
      <c r="G78" s="2"/>
      <c r="H78" s="2"/>
      <c r="I78" s="2"/>
      <c r="J78" s="2"/>
      <c r="K78" s="2"/>
      <c r="L78" s="2"/>
      <c r="M78" s="2"/>
      <c r="N78" s="2"/>
      <c r="O78" s="108"/>
      <c r="P78" s="55"/>
    </row>
    <row r="79" spans="1:16" ht="12.75">
      <c r="A79" s="29"/>
      <c r="B79" s="29"/>
      <c r="C79" s="29"/>
      <c r="D79" s="19" t="s">
        <v>317</v>
      </c>
      <c r="E79" s="2">
        <f>204885-48619</f>
        <v>156266</v>
      </c>
      <c r="F79" s="2">
        <f>204885-48619</f>
        <v>156266</v>
      </c>
      <c r="G79" s="2"/>
      <c r="H79" s="2"/>
      <c r="I79" s="2"/>
      <c r="J79" s="2"/>
      <c r="K79" s="2"/>
      <c r="L79" s="2"/>
      <c r="M79" s="2"/>
      <c r="N79" s="2"/>
      <c r="O79" s="108"/>
      <c r="P79" s="55"/>
    </row>
    <row r="80" spans="1:16" ht="12.75">
      <c r="A80" s="29" t="s">
        <v>353</v>
      </c>
      <c r="B80" s="29" t="s">
        <v>336</v>
      </c>
      <c r="C80" s="30" t="s">
        <v>48</v>
      </c>
      <c r="D80" s="88" t="s">
        <v>341</v>
      </c>
      <c r="E80" s="2"/>
      <c r="F80" s="2"/>
      <c r="G80" s="2"/>
      <c r="H80" s="2"/>
      <c r="I80" s="2"/>
      <c r="J80" s="2">
        <v>300000</v>
      </c>
      <c r="K80" s="2"/>
      <c r="L80" s="2"/>
      <c r="M80" s="2"/>
      <c r="N80" s="2">
        <v>300000</v>
      </c>
      <c r="O80" s="108">
        <v>300000</v>
      </c>
      <c r="P80" s="55">
        <f t="shared" si="1"/>
        <v>300000</v>
      </c>
    </row>
    <row r="81" spans="1:16" ht="52.5" customHeight="1">
      <c r="A81" s="29" t="s">
        <v>259</v>
      </c>
      <c r="B81" s="29" t="s">
        <v>44</v>
      </c>
      <c r="C81" s="29" t="s">
        <v>45</v>
      </c>
      <c r="D81" s="88" t="s">
        <v>312</v>
      </c>
      <c r="E81" s="1">
        <v>470000</v>
      </c>
      <c r="F81" s="1">
        <v>470000</v>
      </c>
      <c r="G81" s="34"/>
      <c r="H81" s="34"/>
      <c r="I81" s="34"/>
      <c r="J81" s="86"/>
      <c r="K81" s="86"/>
      <c r="L81" s="86"/>
      <c r="M81" s="86"/>
      <c r="N81" s="86"/>
      <c r="O81" s="86"/>
      <c r="P81" s="55">
        <f t="shared" si="1"/>
        <v>470000</v>
      </c>
    </row>
    <row r="82" spans="1:16" ht="24.75" thickBot="1">
      <c r="A82" s="67" t="s">
        <v>131</v>
      </c>
      <c r="B82" s="67" t="s">
        <v>132</v>
      </c>
      <c r="C82" s="67" t="s">
        <v>70</v>
      </c>
      <c r="D82" s="68" t="s">
        <v>133</v>
      </c>
      <c r="E82" s="69">
        <v>3230900</v>
      </c>
      <c r="F82" s="69">
        <v>3230900</v>
      </c>
      <c r="G82" s="49"/>
      <c r="H82" s="49"/>
      <c r="I82" s="49"/>
      <c r="J82" s="49"/>
      <c r="K82" s="49"/>
      <c r="L82" s="49"/>
      <c r="M82" s="49"/>
      <c r="N82" s="49"/>
      <c r="O82" s="85"/>
      <c r="P82" s="55">
        <f t="shared" si="1"/>
        <v>3230900</v>
      </c>
    </row>
    <row r="83" spans="1:16" ht="13.5" thickBot="1">
      <c r="A83" s="89">
        <v>1500000</v>
      </c>
      <c r="B83" s="41"/>
      <c r="C83" s="42"/>
      <c r="D83" s="51" t="s">
        <v>6</v>
      </c>
      <c r="E83" s="52">
        <f>SUM(E84:E108,E112:E116)</f>
        <v>545950669</v>
      </c>
      <c r="F83" s="52">
        <f>SUM(F84:F108,F112:F116)</f>
        <v>545950669</v>
      </c>
      <c r="G83" s="52">
        <f>SUM(G84:G108,G112:G116)</f>
        <v>12843148</v>
      </c>
      <c r="H83" s="52">
        <f>SUM(H84:H108,H112:H116)</f>
        <v>1087548</v>
      </c>
      <c r="I83" s="52">
        <f>SUM(I84:I108,I112:I116)</f>
        <v>0</v>
      </c>
      <c r="J83" s="52">
        <f aca="true" t="shared" si="6" ref="J83:O83">SUM(J84:J116)</f>
        <v>36000</v>
      </c>
      <c r="K83" s="52">
        <f t="shared" si="6"/>
        <v>36000</v>
      </c>
      <c r="L83" s="52">
        <f t="shared" si="6"/>
        <v>0</v>
      </c>
      <c r="M83" s="52">
        <f t="shared" si="6"/>
        <v>0</v>
      </c>
      <c r="N83" s="52">
        <f t="shared" si="6"/>
        <v>0</v>
      </c>
      <c r="O83" s="52">
        <f t="shared" si="6"/>
        <v>0</v>
      </c>
      <c r="P83" s="53">
        <f t="shared" si="1"/>
        <v>545986669</v>
      </c>
    </row>
    <row r="84" spans="1:16" ht="12.75">
      <c r="A84" s="36" t="s">
        <v>134</v>
      </c>
      <c r="B84" s="36" t="s">
        <v>59</v>
      </c>
      <c r="C84" s="36" t="s">
        <v>41</v>
      </c>
      <c r="D84" s="18" t="s">
        <v>135</v>
      </c>
      <c r="E84" s="4">
        <v>9919483</v>
      </c>
      <c r="F84" s="4">
        <v>9919483</v>
      </c>
      <c r="G84" s="4">
        <v>7552670</v>
      </c>
      <c r="H84" s="4">
        <v>239935</v>
      </c>
      <c r="I84" s="4"/>
      <c r="J84" s="4"/>
      <c r="K84" s="4"/>
      <c r="L84" s="4"/>
      <c r="M84" s="4"/>
      <c r="N84" s="4"/>
      <c r="O84" s="4"/>
      <c r="P84" s="55">
        <f t="shared" si="1"/>
        <v>9919483</v>
      </c>
    </row>
    <row r="85" spans="1:16" ht="48">
      <c r="A85" s="36" t="s">
        <v>136</v>
      </c>
      <c r="B85" s="36" t="s">
        <v>137</v>
      </c>
      <c r="C85" s="36" t="s">
        <v>63</v>
      </c>
      <c r="D85" s="79" t="s">
        <v>313</v>
      </c>
      <c r="E85" s="5">
        <v>793000</v>
      </c>
      <c r="F85" s="5">
        <v>793000</v>
      </c>
      <c r="G85" s="4"/>
      <c r="H85" s="4"/>
      <c r="I85" s="4"/>
      <c r="J85" s="4"/>
      <c r="K85" s="4"/>
      <c r="L85" s="4"/>
      <c r="M85" s="4"/>
      <c r="N85" s="4"/>
      <c r="O85" s="5"/>
      <c r="P85" s="55">
        <f t="shared" si="1"/>
        <v>793000</v>
      </c>
    </row>
    <row r="86" spans="1:16" ht="132">
      <c r="A86" s="70" t="s">
        <v>139</v>
      </c>
      <c r="B86" s="70" t="s">
        <v>140</v>
      </c>
      <c r="C86" s="70" t="s">
        <v>68</v>
      </c>
      <c r="D86" s="15" t="s">
        <v>138</v>
      </c>
      <c r="E86" s="1">
        <v>35000000</v>
      </c>
      <c r="F86" s="1">
        <v>35000000</v>
      </c>
      <c r="G86" s="4"/>
      <c r="H86" s="4"/>
      <c r="I86" s="4"/>
      <c r="J86" s="4"/>
      <c r="K86" s="4"/>
      <c r="L86" s="4"/>
      <c r="M86" s="4"/>
      <c r="N86" s="4"/>
      <c r="O86" s="5"/>
      <c r="P86" s="55">
        <f t="shared" si="1"/>
        <v>35000000</v>
      </c>
    </row>
    <row r="87" spans="1:16" ht="132">
      <c r="A87" s="71" t="s">
        <v>141</v>
      </c>
      <c r="B87" s="71" t="s">
        <v>142</v>
      </c>
      <c r="C87" s="71" t="s">
        <v>68</v>
      </c>
      <c r="D87" s="72" t="s">
        <v>143</v>
      </c>
      <c r="E87" s="9">
        <v>199998</v>
      </c>
      <c r="F87" s="9">
        <v>199998</v>
      </c>
      <c r="G87" s="4"/>
      <c r="H87" s="4"/>
      <c r="I87" s="4"/>
      <c r="J87" s="4"/>
      <c r="K87" s="4"/>
      <c r="L87" s="4"/>
      <c r="M87" s="4"/>
      <c r="N87" s="4"/>
      <c r="O87" s="5"/>
      <c r="P87" s="55">
        <f t="shared" si="1"/>
        <v>199998</v>
      </c>
    </row>
    <row r="88" spans="1:16" ht="202.5" customHeight="1">
      <c r="A88" s="71" t="s">
        <v>144</v>
      </c>
      <c r="B88" s="71" t="s">
        <v>145</v>
      </c>
      <c r="C88" s="71" t="s">
        <v>68</v>
      </c>
      <c r="D88" s="72" t="s">
        <v>318</v>
      </c>
      <c r="E88" s="9">
        <v>6500000</v>
      </c>
      <c r="F88" s="9">
        <v>6500000</v>
      </c>
      <c r="G88" s="188"/>
      <c r="H88" s="188"/>
      <c r="I88" s="188"/>
      <c r="J88" s="188"/>
      <c r="K88" s="188"/>
      <c r="L88" s="188"/>
      <c r="M88" s="188"/>
      <c r="N88" s="188"/>
      <c r="O88" s="190"/>
      <c r="P88" s="193">
        <f t="shared" si="1"/>
        <v>6500000</v>
      </c>
    </row>
    <row r="89" spans="1:16" ht="166.5" customHeight="1">
      <c r="A89" s="109"/>
      <c r="B89" s="109"/>
      <c r="C89" s="109"/>
      <c r="D89" s="110" t="s">
        <v>319</v>
      </c>
      <c r="E89" s="111"/>
      <c r="F89" s="111"/>
      <c r="G89" s="189"/>
      <c r="H89" s="189"/>
      <c r="I89" s="189"/>
      <c r="J89" s="189"/>
      <c r="K89" s="189"/>
      <c r="L89" s="189"/>
      <c r="M89" s="189"/>
      <c r="N89" s="189"/>
      <c r="O89" s="191"/>
      <c r="P89" s="194"/>
    </row>
    <row r="90" spans="1:16" ht="48">
      <c r="A90" s="70" t="s">
        <v>146</v>
      </c>
      <c r="B90" s="112" t="s">
        <v>147</v>
      </c>
      <c r="C90" s="112" t="s">
        <v>70</v>
      </c>
      <c r="D90" s="113" t="s">
        <v>148</v>
      </c>
      <c r="E90" s="7">
        <v>18000000</v>
      </c>
      <c r="F90" s="114">
        <v>18000000</v>
      </c>
      <c r="G90" s="4"/>
      <c r="H90" s="4"/>
      <c r="I90" s="4"/>
      <c r="J90" s="4"/>
      <c r="K90" s="4"/>
      <c r="L90" s="4"/>
      <c r="M90" s="4"/>
      <c r="N90" s="4"/>
      <c r="O90" s="5"/>
      <c r="P90" s="55">
        <f t="shared" si="1"/>
        <v>18000000</v>
      </c>
    </row>
    <row r="91" spans="1:16" ht="48">
      <c r="A91" s="70" t="s">
        <v>149</v>
      </c>
      <c r="B91" s="112" t="s">
        <v>150</v>
      </c>
      <c r="C91" s="112" t="s">
        <v>70</v>
      </c>
      <c r="D91" s="113" t="s">
        <v>151</v>
      </c>
      <c r="E91" s="103">
        <v>1000</v>
      </c>
      <c r="F91" s="103">
        <v>1000</v>
      </c>
      <c r="G91" s="4"/>
      <c r="H91" s="4"/>
      <c r="I91" s="4"/>
      <c r="J91" s="4"/>
      <c r="K91" s="4"/>
      <c r="L91" s="4"/>
      <c r="M91" s="4"/>
      <c r="N91" s="4"/>
      <c r="O91" s="5"/>
      <c r="P91" s="55">
        <f t="shared" si="1"/>
        <v>1000</v>
      </c>
    </row>
    <row r="92" spans="1:16" ht="48">
      <c r="A92" s="70" t="s">
        <v>153</v>
      </c>
      <c r="B92" s="112" t="s">
        <v>154</v>
      </c>
      <c r="C92" s="112" t="s">
        <v>70</v>
      </c>
      <c r="D92" s="113" t="s">
        <v>152</v>
      </c>
      <c r="E92" s="7">
        <v>180702</v>
      </c>
      <c r="F92" s="7">
        <v>180702</v>
      </c>
      <c r="G92" s="4"/>
      <c r="H92" s="4"/>
      <c r="I92" s="4"/>
      <c r="J92" s="4"/>
      <c r="K92" s="4"/>
      <c r="L92" s="4"/>
      <c r="M92" s="4"/>
      <c r="N92" s="4"/>
      <c r="O92" s="5"/>
      <c r="P92" s="55">
        <f t="shared" si="1"/>
        <v>180702</v>
      </c>
    </row>
    <row r="93" spans="1:16" ht="108">
      <c r="A93" s="70" t="s">
        <v>155</v>
      </c>
      <c r="B93" s="112" t="s">
        <v>156</v>
      </c>
      <c r="C93" s="112" t="s">
        <v>70</v>
      </c>
      <c r="D93" s="113" t="s">
        <v>157</v>
      </c>
      <c r="E93" s="103"/>
      <c r="F93" s="115"/>
      <c r="G93" s="4"/>
      <c r="H93" s="4"/>
      <c r="I93" s="4"/>
      <c r="J93" s="4"/>
      <c r="K93" s="4"/>
      <c r="L93" s="4"/>
      <c r="M93" s="4"/>
      <c r="N93" s="4"/>
      <c r="O93" s="5"/>
      <c r="P93" s="55">
        <f t="shared" si="1"/>
        <v>0</v>
      </c>
    </row>
    <row r="94" spans="1:16" ht="12.75">
      <c r="A94" s="29" t="s">
        <v>158</v>
      </c>
      <c r="B94" s="116" t="s">
        <v>159</v>
      </c>
      <c r="C94" s="116" t="s">
        <v>70</v>
      </c>
      <c r="D94" s="19" t="s">
        <v>160</v>
      </c>
      <c r="E94" s="1">
        <v>1000000</v>
      </c>
      <c r="F94" s="1">
        <v>1000000</v>
      </c>
      <c r="G94" s="4"/>
      <c r="H94" s="4"/>
      <c r="I94" s="4"/>
      <c r="J94" s="4"/>
      <c r="K94" s="4"/>
      <c r="L94" s="4"/>
      <c r="M94" s="4"/>
      <c r="N94" s="4"/>
      <c r="O94" s="5"/>
      <c r="P94" s="55">
        <f t="shared" si="1"/>
        <v>1000000</v>
      </c>
    </row>
    <row r="95" spans="1:16" ht="16.5" customHeight="1">
      <c r="A95" s="112" t="s">
        <v>161</v>
      </c>
      <c r="B95" s="112" t="s">
        <v>162</v>
      </c>
      <c r="C95" s="70" t="s">
        <v>70</v>
      </c>
      <c r="D95" s="15" t="s">
        <v>163</v>
      </c>
      <c r="E95" s="1">
        <v>1685000</v>
      </c>
      <c r="F95" s="1">
        <v>1685000</v>
      </c>
      <c r="G95" s="4"/>
      <c r="H95" s="4"/>
      <c r="I95" s="4"/>
      <c r="J95" s="4"/>
      <c r="K95" s="4"/>
      <c r="L95" s="4"/>
      <c r="M95" s="4"/>
      <c r="N95" s="4"/>
      <c r="O95" s="5"/>
      <c r="P95" s="55">
        <f t="shared" si="1"/>
        <v>1685000</v>
      </c>
    </row>
    <row r="96" spans="1:16" ht="12.75">
      <c r="A96" s="116" t="s">
        <v>164</v>
      </c>
      <c r="B96" s="116" t="s">
        <v>165</v>
      </c>
      <c r="C96" s="29" t="s">
        <v>97</v>
      </c>
      <c r="D96" s="19" t="s">
        <v>166</v>
      </c>
      <c r="E96" s="47">
        <v>2754340</v>
      </c>
      <c r="F96" s="47">
        <v>2754340</v>
      </c>
      <c r="G96" s="4"/>
      <c r="H96" s="4"/>
      <c r="I96" s="4"/>
      <c r="J96" s="4"/>
      <c r="K96" s="4"/>
      <c r="L96" s="4"/>
      <c r="M96" s="4"/>
      <c r="N96" s="4"/>
      <c r="O96" s="5"/>
      <c r="P96" s="55">
        <f t="shared" si="1"/>
        <v>2754340</v>
      </c>
    </row>
    <row r="97" spans="1:16" ht="12.75">
      <c r="A97" s="116" t="s">
        <v>167</v>
      </c>
      <c r="B97" s="116" t="s">
        <v>168</v>
      </c>
      <c r="C97" s="29" t="s">
        <v>97</v>
      </c>
      <c r="D97" s="19" t="s">
        <v>349</v>
      </c>
      <c r="E97" s="47">
        <v>877642</v>
      </c>
      <c r="F97" s="47">
        <v>877642</v>
      </c>
      <c r="G97" s="4"/>
      <c r="H97" s="4"/>
      <c r="I97" s="4"/>
      <c r="J97" s="4"/>
      <c r="K97" s="4"/>
      <c r="L97" s="4"/>
      <c r="M97" s="4"/>
      <c r="N97" s="4"/>
      <c r="O97" s="5"/>
      <c r="P97" s="55">
        <f t="shared" si="1"/>
        <v>877642</v>
      </c>
    </row>
    <row r="98" spans="1:16" ht="12.75">
      <c r="A98" s="116" t="s">
        <v>169</v>
      </c>
      <c r="B98" s="116" t="s">
        <v>170</v>
      </c>
      <c r="C98" s="29" t="s">
        <v>97</v>
      </c>
      <c r="D98" s="19" t="s">
        <v>171</v>
      </c>
      <c r="E98" s="47">
        <v>97448580</v>
      </c>
      <c r="F98" s="47">
        <v>97448580</v>
      </c>
      <c r="G98" s="4"/>
      <c r="H98" s="4"/>
      <c r="I98" s="4"/>
      <c r="J98" s="4"/>
      <c r="K98" s="4"/>
      <c r="L98" s="4"/>
      <c r="M98" s="4"/>
      <c r="N98" s="4"/>
      <c r="O98" s="5"/>
      <c r="P98" s="55">
        <f t="shared" si="1"/>
        <v>97448580</v>
      </c>
    </row>
    <row r="99" spans="1:16" ht="24">
      <c r="A99" s="116" t="s">
        <v>172</v>
      </c>
      <c r="B99" s="116" t="s">
        <v>173</v>
      </c>
      <c r="C99" s="29" t="s">
        <v>97</v>
      </c>
      <c r="D99" s="35" t="s">
        <v>174</v>
      </c>
      <c r="E99" s="47">
        <v>8928820</v>
      </c>
      <c r="F99" s="47">
        <v>8928820</v>
      </c>
      <c r="G99" s="4"/>
      <c r="H99" s="4"/>
      <c r="I99" s="4"/>
      <c r="J99" s="4"/>
      <c r="K99" s="4"/>
      <c r="L99" s="4"/>
      <c r="M99" s="4"/>
      <c r="N99" s="4"/>
      <c r="O99" s="5"/>
      <c r="P99" s="55">
        <f t="shared" si="1"/>
        <v>8928820</v>
      </c>
    </row>
    <row r="100" spans="1:16" ht="12.75">
      <c r="A100" s="116" t="s">
        <v>175</v>
      </c>
      <c r="B100" s="116" t="s">
        <v>176</v>
      </c>
      <c r="C100" s="29" t="s">
        <v>97</v>
      </c>
      <c r="D100" s="19" t="s">
        <v>177</v>
      </c>
      <c r="E100" s="47">
        <v>23993345</v>
      </c>
      <c r="F100" s="47">
        <v>23993345</v>
      </c>
      <c r="G100" s="4"/>
      <c r="H100" s="4"/>
      <c r="I100" s="4"/>
      <c r="J100" s="4"/>
      <c r="K100" s="4"/>
      <c r="L100" s="4"/>
      <c r="M100" s="4"/>
      <c r="N100" s="4"/>
      <c r="O100" s="5"/>
      <c r="P100" s="55">
        <f t="shared" si="1"/>
        <v>23993345</v>
      </c>
    </row>
    <row r="101" spans="1:16" ht="12.75">
      <c r="A101" s="116" t="s">
        <v>178</v>
      </c>
      <c r="B101" s="116" t="s">
        <v>179</v>
      </c>
      <c r="C101" s="29" t="s">
        <v>97</v>
      </c>
      <c r="D101" s="19" t="s">
        <v>180</v>
      </c>
      <c r="E101" s="47">
        <v>1982127</v>
      </c>
      <c r="F101" s="47">
        <v>1982127</v>
      </c>
      <c r="G101" s="4"/>
      <c r="H101" s="4"/>
      <c r="I101" s="4"/>
      <c r="J101" s="4"/>
      <c r="K101" s="4"/>
      <c r="L101" s="4"/>
      <c r="M101" s="4"/>
      <c r="N101" s="4"/>
      <c r="O101" s="5"/>
      <c r="P101" s="55">
        <f aca="true" t="shared" si="7" ref="P101:P168">SUM(E101,J101)</f>
        <v>1982127</v>
      </c>
    </row>
    <row r="102" spans="1:16" ht="12.75">
      <c r="A102" s="116" t="s">
        <v>181</v>
      </c>
      <c r="B102" s="116" t="s">
        <v>182</v>
      </c>
      <c r="C102" s="29" t="s">
        <v>97</v>
      </c>
      <c r="D102" s="19" t="s">
        <v>183</v>
      </c>
      <c r="E102" s="47">
        <v>238220</v>
      </c>
      <c r="F102" s="47">
        <v>238220</v>
      </c>
      <c r="G102" s="4"/>
      <c r="H102" s="4"/>
      <c r="I102" s="4"/>
      <c r="J102" s="4"/>
      <c r="K102" s="4"/>
      <c r="L102" s="4"/>
      <c r="M102" s="4"/>
      <c r="N102" s="4"/>
      <c r="O102" s="5"/>
      <c r="P102" s="55">
        <f t="shared" si="7"/>
        <v>238220</v>
      </c>
    </row>
    <row r="103" spans="1:16" ht="12.75">
      <c r="A103" s="116" t="s">
        <v>184</v>
      </c>
      <c r="B103" s="116" t="s">
        <v>185</v>
      </c>
      <c r="C103" s="29" t="s">
        <v>97</v>
      </c>
      <c r="D103" s="19" t="s">
        <v>186</v>
      </c>
      <c r="E103" s="47">
        <v>27116784</v>
      </c>
      <c r="F103" s="47">
        <v>27116784</v>
      </c>
      <c r="G103" s="4"/>
      <c r="H103" s="4"/>
      <c r="I103" s="4"/>
      <c r="J103" s="4"/>
      <c r="K103" s="4"/>
      <c r="L103" s="4"/>
      <c r="M103" s="4"/>
      <c r="N103" s="4"/>
      <c r="O103" s="5"/>
      <c r="P103" s="55">
        <f t="shared" si="7"/>
        <v>27116784</v>
      </c>
    </row>
    <row r="104" spans="1:16" ht="24">
      <c r="A104" s="112" t="s">
        <v>187</v>
      </c>
      <c r="B104" s="112" t="s">
        <v>188</v>
      </c>
      <c r="C104" s="70" t="s">
        <v>137</v>
      </c>
      <c r="D104" s="15" t="s">
        <v>189</v>
      </c>
      <c r="E104" s="117">
        <v>240000000</v>
      </c>
      <c r="F104" s="117">
        <v>240000000</v>
      </c>
      <c r="G104" s="4"/>
      <c r="H104" s="4"/>
      <c r="I104" s="4"/>
      <c r="J104" s="4"/>
      <c r="K104" s="4"/>
      <c r="L104" s="4"/>
      <c r="M104" s="4"/>
      <c r="N104" s="4"/>
      <c r="O104" s="5"/>
      <c r="P104" s="55">
        <f t="shared" si="7"/>
        <v>240000000</v>
      </c>
    </row>
    <row r="105" spans="1:16" ht="36">
      <c r="A105" s="112" t="s">
        <v>190</v>
      </c>
      <c r="B105" s="112" t="s">
        <v>191</v>
      </c>
      <c r="C105" s="70" t="s">
        <v>137</v>
      </c>
      <c r="D105" s="15" t="s">
        <v>192</v>
      </c>
      <c r="E105" s="117">
        <v>38000</v>
      </c>
      <c r="F105" s="117">
        <v>38000</v>
      </c>
      <c r="G105" s="4"/>
      <c r="H105" s="4"/>
      <c r="I105" s="4"/>
      <c r="J105" s="4"/>
      <c r="K105" s="4"/>
      <c r="L105" s="4"/>
      <c r="M105" s="4"/>
      <c r="N105" s="4"/>
      <c r="O105" s="5"/>
      <c r="P105" s="55">
        <f t="shared" si="7"/>
        <v>38000</v>
      </c>
    </row>
    <row r="106" spans="1:16" ht="24">
      <c r="A106" s="70" t="s">
        <v>193</v>
      </c>
      <c r="B106" s="70" t="s">
        <v>194</v>
      </c>
      <c r="C106" s="70" t="s">
        <v>62</v>
      </c>
      <c r="D106" s="15" t="s">
        <v>350</v>
      </c>
      <c r="E106" s="117">
        <v>2399400</v>
      </c>
      <c r="F106" s="117">
        <v>2399400</v>
      </c>
      <c r="G106" s="4"/>
      <c r="H106" s="4"/>
      <c r="I106" s="4"/>
      <c r="J106" s="4"/>
      <c r="K106" s="4"/>
      <c r="L106" s="4"/>
      <c r="M106" s="4"/>
      <c r="N106" s="4"/>
      <c r="O106" s="5"/>
      <c r="P106" s="55">
        <f t="shared" si="7"/>
        <v>2399400</v>
      </c>
    </row>
    <row r="107" spans="1:16" ht="24">
      <c r="A107" s="30" t="s">
        <v>195</v>
      </c>
      <c r="B107" s="30" t="s">
        <v>196</v>
      </c>
      <c r="C107" s="30" t="s">
        <v>62</v>
      </c>
      <c r="D107" s="66" t="s">
        <v>197</v>
      </c>
      <c r="E107" s="59">
        <v>40710742</v>
      </c>
      <c r="F107" s="59">
        <v>40710742</v>
      </c>
      <c r="G107" s="4"/>
      <c r="H107" s="4"/>
      <c r="I107" s="4"/>
      <c r="J107" s="4"/>
      <c r="K107" s="4"/>
      <c r="L107" s="4"/>
      <c r="M107" s="4"/>
      <c r="N107" s="4"/>
      <c r="O107" s="5"/>
      <c r="P107" s="55">
        <f t="shared" si="7"/>
        <v>40710742</v>
      </c>
    </row>
    <row r="108" spans="1:16" ht="12.75">
      <c r="A108" s="30" t="s">
        <v>261</v>
      </c>
      <c r="B108" s="30" t="s">
        <v>44</v>
      </c>
      <c r="C108" s="30" t="s">
        <v>45</v>
      </c>
      <c r="D108" s="88" t="s">
        <v>260</v>
      </c>
      <c r="E108" s="123">
        <f>3402850+1000000</f>
        <v>4402850</v>
      </c>
      <c r="F108" s="123">
        <f>3402850+1000000</f>
        <v>4402850</v>
      </c>
      <c r="G108" s="1"/>
      <c r="H108" s="1"/>
      <c r="I108" s="34"/>
      <c r="J108" s="34"/>
      <c r="K108" s="34"/>
      <c r="L108" s="34"/>
      <c r="M108" s="34"/>
      <c r="N108" s="34"/>
      <c r="O108" s="34"/>
      <c r="P108" s="55">
        <f t="shared" si="7"/>
        <v>4402850</v>
      </c>
    </row>
    <row r="109" spans="1:16" ht="12.75">
      <c r="A109" s="30"/>
      <c r="B109" s="30"/>
      <c r="C109" s="30"/>
      <c r="D109" s="88" t="s">
        <v>314</v>
      </c>
      <c r="E109" s="1">
        <f>3000000+1000000</f>
        <v>4000000</v>
      </c>
      <c r="F109" s="1">
        <f>3000000+1000000</f>
        <v>4000000</v>
      </c>
      <c r="G109" s="1"/>
      <c r="H109" s="1"/>
      <c r="I109" s="34"/>
      <c r="J109" s="34"/>
      <c r="K109" s="34"/>
      <c r="L109" s="34"/>
      <c r="M109" s="34"/>
      <c r="N109" s="34"/>
      <c r="O109" s="34"/>
      <c r="P109" s="55">
        <f t="shared" si="7"/>
        <v>4000000</v>
      </c>
    </row>
    <row r="110" spans="1:16" ht="12.75">
      <c r="A110" s="30"/>
      <c r="B110" s="30"/>
      <c r="C110" s="30"/>
      <c r="D110" s="88" t="s">
        <v>320</v>
      </c>
      <c r="E110" s="1">
        <v>292850</v>
      </c>
      <c r="F110" s="1">
        <v>292850</v>
      </c>
      <c r="G110" s="1"/>
      <c r="H110" s="1"/>
      <c r="I110" s="34"/>
      <c r="J110" s="34"/>
      <c r="K110" s="34"/>
      <c r="L110" s="34"/>
      <c r="M110" s="34"/>
      <c r="N110" s="34"/>
      <c r="O110" s="34"/>
      <c r="P110" s="55"/>
    </row>
    <row r="111" spans="1:16" ht="24">
      <c r="A111" s="30"/>
      <c r="B111" s="30"/>
      <c r="C111" s="30"/>
      <c r="D111" s="88" t="s">
        <v>321</v>
      </c>
      <c r="E111" s="1">
        <v>110000</v>
      </c>
      <c r="F111" s="1">
        <v>110000</v>
      </c>
      <c r="G111" s="1"/>
      <c r="H111" s="1"/>
      <c r="I111" s="34"/>
      <c r="J111" s="34"/>
      <c r="K111" s="34"/>
      <c r="L111" s="34"/>
      <c r="M111" s="34"/>
      <c r="N111" s="34"/>
      <c r="O111" s="34"/>
      <c r="P111" s="55"/>
    </row>
    <row r="112" spans="1:16" ht="36">
      <c r="A112" s="56" t="s">
        <v>198</v>
      </c>
      <c r="B112" s="56" t="s">
        <v>199</v>
      </c>
      <c r="C112" s="56" t="s">
        <v>65</v>
      </c>
      <c r="D112" s="73" t="s">
        <v>200</v>
      </c>
      <c r="E112" s="1">
        <v>4526844</v>
      </c>
      <c r="F112" s="1">
        <v>4526844</v>
      </c>
      <c r="G112" s="1">
        <v>3459740</v>
      </c>
      <c r="H112" s="1">
        <v>101361</v>
      </c>
      <c r="I112" s="7"/>
      <c r="J112" s="7">
        <f>SUM(K112,N112)</f>
        <v>36000</v>
      </c>
      <c r="K112" s="7">
        <v>36000</v>
      </c>
      <c r="L112" s="7"/>
      <c r="M112" s="7"/>
      <c r="N112" s="7"/>
      <c r="O112" s="1"/>
      <c r="P112" s="55">
        <f t="shared" si="7"/>
        <v>4562844</v>
      </c>
    </row>
    <row r="113" spans="1:16" ht="12.75">
      <c r="A113" s="56" t="s">
        <v>204</v>
      </c>
      <c r="B113" s="56" t="s">
        <v>205</v>
      </c>
      <c r="C113" s="56" t="s">
        <v>62</v>
      </c>
      <c r="D113" s="66" t="s">
        <v>206</v>
      </c>
      <c r="E113" s="1">
        <v>3328472</v>
      </c>
      <c r="F113" s="1">
        <v>3328472</v>
      </c>
      <c r="G113" s="1">
        <v>1830738</v>
      </c>
      <c r="H113" s="1">
        <v>746252</v>
      </c>
      <c r="I113" s="7"/>
      <c r="J113" s="7"/>
      <c r="K113" s="7"/>
      <c r="L113" s="7"/>
      <c r="M113" s="7"/>
      <c r="N113" s="7"/>
      <c r="O113" s="1"/>
      <c r="P113" s="55">
        <f t="shared" si="7"/>
        <v>3328472</v>
      </c>
    </row>
    <row r="114" spans="1:16" ht="37.5" customHeight="1">
      <c r="A114" s="56" t="s">
        <v>201</v>
      </c>
      <c r="B114" s="56" t="s">
        <v>202</v>
      </c>
      <c r="C114" s="56" t="s">
        <v>62</v>
      </c>
      <c r="D114" s="66" t="s">
        <v>203</v>
      </c>
      <c r="E114" s="1">
        <v>704720</v>
      </c>
      <c r="F114" s="1">
        <v>704720</v>
      </c>
      <c r="G114" s="1"/>
      <c r="H114" s="1"/>
      <c r="I114" s="7"/>
      <c r="J114" s="7"/>
      <c r="K114" s="7"/>
      <c r="L114" s="7"/>
      <c r="M114" s="7"/>
      <c r="N114" s="7"/>
      <c r="O114" s="1"/>
      <c r="P114" s="55">
        <f>SUM(E114,J114)</f>
        <v>704720</v>
      </c>
    </row>
    <row r="115" spans="1:16" ht="24">
      <c r="A115" s="32" t="s">
        <v>207</v>
      </c>
      <c r="B115" s="32" t="s">
        <v>208</v>
      </c>
      <c r="C115" s="32" t="s">
        <v>68</v>
      </c>
      <c r="D115" s="82" t="s">
        <v>209</v>
      </c>
      <c r="E115" s="6">
        <v>220600</v>
      </c>
      <c r="F115" s="6">
        <v>220600</v>
      </c>
      <c r="G115" s="1"/>
      <c r="H115" s="1"/>
      <c r="I115" s="7"/>
      <c r="J115" s="7"/>
      <c r="K115" s="7"/>
      <c r="L115" s="7"/>
      <c r="M115" s="7"/>
      <c r="N115" s="7"/>
      <c r="O115" s="1"/>
      <c r="P115" s="118">
        <f t="shared" si="7"/>
        <v>220600</v>
      </c>
    </row>
    <row r="116" spans="1:16" ht="24.75" thickBot="1">
      <c r="A116" s="74" t="s">
        <v>210</v>
      </c>
      <c r="B116" s="74" t="s">
        <v>211</v>
      </c>
      <c r="C116" s="74" t="s">
        <v>70</v>
      </c>
      <c r="D116" s="75" t="s">
        <v>212</v>
      </c>
      <c r="E116" s="76">
        <v>13000000</v>
      </c>
      <c r="F116" s="76">
        <v>13000000</v>
      </c>
      <c r="G116" s="50"/>
      <c r="H116" s="50"/>
      <c r="I116" s="60"/>
      <c r="J116" s="60"/>
      <c r="K116" s="60"/>
      <c r="L116" s="60"/>
      <c r="M116" s="60"/>
      <c r="N116" s="60"/>
      <c r="O116" s="119"/>
      <c r="P116" s="102">
        <f t="shared" si="7"/>
        <v>13000000</v>
      </c>
    </row>
    <row r="117" spans="1:16" ht="13.5" thickBot="1">
      <c r="A117" s="89">
        <v>2000000</v>
      </c>
      <c r="B117" s="41"/>
      <c r="C117" s="42"/>
      <c r="D117" s="43" t="s">
        <v>11</v>
      </c>
      <c r="E117" s="77">
        <f>SUM(E118:E121)</f>
        <v>6150485</v>
      </c>
      <c r="F117" s="8">
        <f aca="true" t="shared" si="8" ref="F117:O117">SUM(F118:F121)</f>
        <v>6150485</v>
      </c>
      <c r="G117" s="8">
        <f t="shared" si="8"/>
        <v>3200671</v>
      </c>
      <c r="H117" s="8">
        <f t="shared" si="8"/>
        <v>678668</v>
      </c>
      <c r="I117" s="8">
        <f t="shared" si="8"/>
        <v>0</v>
      </c>
      <c r="J117" s="8">
        <f t="shared" si="8"/>
        <v>50000</v>
      </c>
      <c r="K117" s="8">
        <f t="shared" si="8"/>
        <v>0</v>
      </c>
      <c r="L117" s="8">
        <f t="shared" si="8"/>
        <v>0</v>
      </c>
      <c r="M117" s="8">
        <f t="shared" si="8"/>
        <v>0</v>
      </c>
      <c r="N117" s="8">
        <f t="shared" si="8"/>
        <v>50000</v>
      </c>
      <c r="O117" s="17">
        <f t="shared" si="8"/>
        <v>50000</v>
      </c>
      <c r="P117" s="54">
        <f t="shared" si="7"/>
        <v>6200485</v>
      </c>
    </row>
    <row r="118" spans="1:16" ht="12.75">
      <c r="A118" s="36" t="s">
        <v>214</v>
      </c>
      <c r="B118" s="36" t="s">
        <v>59</v>
      </c>
      <c r="C118" s="36" t="s">
        <v>41</v>
      </c>
      <c r="D118" s="18" t="s">
        <v>213</v>
      </c>
      <c r="E118" s="4">
        <v>1048991</v>
      </c>
      <c r="F118" s="4">
        <v>1048991</v>
      </c>
      <c r="G118" s="4">
        <v>758310</v>
      </c>
      <c r="H118" s="4">
        <v>52714</v>
      </c>
      <c r="I118" s="4"/>
      <c r="J118" s="4"/>
      <c r="K118" s="4"/>
      <c r="L118" s="4"/>
      <c r="M118" s="4"/>
      <c r="N118" s="4"/>
      <c r="O118" s="5"/>
      <c r="P118" s="55">
        <f t="shared" si="7"/>
        <v>1048991</v>
      </c>
    </row>
    <row r="119" spans="1:16" ht="24">
      <c r="A119" s="78" t="s">
        <v>215</v>
      </c>
      <c r="B119" s="78" t="s">
        <v>216</v>
      </c>
      <c r="C119" s="78" t="s">
        <v>97</v>
      </c>
      <c r="D119" s="79" t="s">
        <v>16</v>
      </c>
      <c r="E119" s="63">
        <v>4706033</v>
      </c>
      <c r="F119" s="63">
        <v>4706033</v>
      </c>
      <c r="G119" s="4">
        <v>2442361</v>
      </c>
      <c r="H119" s="4">
        <v>625954</v>
      </c>
      <c r="I119" s="60"/>
      <c r="J119" s="60">
        <v>50000</v>
      </c>
      <c r="K119" s="60"/>
      <c r="L119" s="60"/>
      <c r="M119" s="60"/>
      <c r="N119" s="60">
        <v>50000</v>
      </c>
      <c r="O119" s="50">
        <v>50000</v>
      </c>
      <c r="P119" s="55">
        <f t="shared" si="7"/>
        <v>4756033</v>
      </c>
    </row>
    <row r="120" spans="1:16" ht="12.75">
      <c r="A120" s="30" t="s">
        <v>217</v>
      </c>
      <c r="B120" s="30" t="s">
        <v>218</v>
      </c>
      <c r="C120" s="30" t="s">
        <v>97</v>
      </c>
      <c r="D120" s="11" t="s">
        <v>219</v>
      </c>
      <c r="E120" s="7">
        <v>195461</v>
      </c>
      <c r="F120" s="7">
        <v>195461</v>
      </c>
      <c r="G120" s="7"/>
      <c r="H120" s="7"/>
      <c r="I120" s="7"/>
      <c r="J120" s="7"/>
      <c r="K120" s="7"/>
      <c r="L120" s="7"/>
      <c r="M120" s="7"/>
      <c r="N120" s="7"/>
      <c r="O120" s="1"/>
      <c r="P120" s="118">
        <f>SUM(E120,J120)</f>
        <v>195461</v>
      </c>
    </row>
    <row r="121" spans="1:16" ht="36.75" thickBot="1">
      <c r="A121" s="36" t="s">
        <v>220</v>
      </c>
      <c r="B121" s="36" t="s">
        <v>104</v>
      </c>
      <c r="C121" s="36" t="s">
        <v>97</v>
      </c>
      <c r="D121" s="79" t="s">
        <v>105</v>
      </c>
      <c r="E121" s="57">
        <v>200000</v>
      </c>
      <c r="F121" s="57">
        <v>200000</v>
      </c>
      <c r="G121" s="57"/>
      <c r="H121" s="57"/>
      <c r="I121" s="57"/>
      <c r="J121" s="57"/>
      <c r="K121" s="57"/>
      <c r="L121" s="57"/>
      <c r="M121" s="57"/>
      <c r="N121" s="57"/>
      <c r="O121" s="120"/>
      <c r="P121" s="102">
        <f t="shared" si="7"/>
        <v>200000</v>
      </c>
    </row>
    <row r="122" spans="1:16" ht="13.5" thickBot="1">
      <c r="A122" s="89">
        <v>2400000</v>
      </c>
      <c r="B122" s="37"/>
      <c r="C122" s="42"/>
      <c r="D122" s="39" t="s">
        <v>298</v>
      </c>
      <c r="E122" s="80">
        <f aca="true" t="shared" si="9" ref="E122:O122">SUM(E123:E128)</f>
        <v>45845092</v>
      </c>
      <c r="F122" s="52">
        <f t="shared" si="9"/>
        <v>45845092</v>
      </c>
      <c r="G122" s="8">
        <f t="shared" si="9"/>
        <v>33608916</v>
      </c>
      <c r="H122" s="8">
        <f t="shared" si="9"/>
        <v>2244824</v>
      </c>
      <c r="I122" s="8">
        <f t="shared" si="9"/>
        <v>0</v>
      </c>
      <c r="J122" s="8">
        <f t="shared" si="9"/>
        <v>3725285</v>
      </c>
      <c r="K122" s="8">
        <f t="shared" si="9"/>
        <v>2550285</v>
      </c>
      <c r="L122" s="8">
        <f t="shared" si="9"/>
        <v>1907716</v>
      </c>
      <c r="M122" s="8">
        <f t="shared" si="9"/>
        <v>0</v>
      </c>
      <c r="N122" s="8">
        <f t="shared" si="9"/>
        <v>1175000</v>
      </c>
      <c r="O122" s="53">
        <f t="shared" si="9"/>
        <v>1175000</v>
      </c>
      <c r="P122" s="54">
        <f t="shared" si="7"/>
        <v>49570377</v>
      </c>
    </row>
    <row r="123" spans="1:16" s="122" customFormat="1" ht="12.75">
      <c r="A123" s="33" t="s">
        <v>222</v>
      </c>
      <c r="B123" s="33" t="s">
        <v>59</v>
      </c>
      <c r="C123" s="33" t="s">
        <v>41</v>
      </c>
      <c r="D123" s="18" t="s">
        <v>221</v>
      </c>
      <c r="E123" s="5">
        <v>667186</v>
      </c>
      <c r="F123" s="5">
        <v>667186</v>
      </c>
      <c r="G123" s="5">
        <v>495334</v>
      </c>
      <c r="H123" s="5">
        <v>41647</v>
      </c>
      <c r="I123" s="111"/>
      <c r="J123" s="121"/>
      <c r="K123" s="121"/>
      <c r="L123" s="121"/>
      <c r="M123" s="121"/>
      <c r="N123" s="121"/>
      <c r="O123" s="121"/>
      <c r="P123" s="55">
        <f t="shared" si="7"/>
        <v>667186</v>
      </c>
    </row>
    <row r="124" spans="1:16" s="24" customFormat="1" ht="24">
      <c r="A124" s="29" t="s">
        <v>223</v>
      </c>
      <c r="B124" s="29" t="s">
        <v>224</v>
      </c>
      <c r="C124" s="29" t="s">
        <v>225</v>
      </c>
      <c r="D124" s="35" t="s">
        <v>33</v>
      </c>
      <c r="E124" s="1">
        <f>1405000+50000+150000+160000</f>
        <v>1765000</v>
      </c>
      <c r="F124" s="1">
        <f>1405000+50000+150000+160000</f>
        <v>1765000</v>
      </c>
      <c r="G124" s="1"/>
      <c r="H124" s="1"/>
      <c r="I124" s="7"/>
      <c r="J124" s="7"/>
      <c r="K124" s="7"/>
      <c r="L124" s="7"/>
      <c r="M124" s="7"/>
      <c r="N124" s="7"/>
      <c r="O124" s="1"/>
      <c r="P124" s="55">
        <f t="shared" si="7"/>
        <v>1765000</v>
      </c>
    </row>
    <row r="125" spans="1:16" ht="12.75">
      <c r="A125" s="29" t="s">
        <v>226</v>
      </c>
      <c r="B125" s="29" t="s">
        <v>227</v>
      </c>
      <c r="C125" s="29" t="s">
        <v>228</v>
      </c>
      <c r="D125" s="19" t="s">
        <v>7</v>
      </c>
      <c r="E125" s="1">
        <v>11832228</v>
      </c>
      <c r="F125" s="1">
        <v>11832228</v>
      </c>
      <c r="G125" s="1">
        <v>8361238</v>
      </c>
      <c r="H125" s="1">
        <v>1254022</v>
      </c>
      <c r="I125" s="7"/>
      <c r="J125" s="7">
        <v>85000</v>
      </c>
      <c r="K125" s="7"/>
      <c r="L125" s="7"/>
      <c r="M125" s="7"/>
      <c r="N125" s="7">
        <v>85000</v>
      </c>
      <c r="O125" s="7">
        <v>85000</v>
      </c>
      <c r="P125" s="55">
        <f t="shared" si="7"/>
        <v>11917228</v>
      </c>
    </row>
    <row r="126" spans="1:16" ht="12.75">
      <c r="A126" s="29" t="s">
        <v>229</v>
      </c>
      <c r="B126" s="29" t="s">
        <v>230</v>
      </c>
      <c r="C126" s="29" t="s">
        <v>73</v>
      </c>
      <c r="D126" s="19" t="s">
        <v>34</v>
      </c>
      <c r="E126" s="1">
        <v>30975486</v>
      </c>
      <c r="F126" s="1">
        <v>30975486</v>
      </c>
      <c r="G126" s="1">
        <f>24494045-208980</f>
        <v>24285065</v>
      </c>
      <c r="H126" s="1">
        <v>949155</v>
      </c>
      <c r="I126" s="123"/>
      <c r="J126" s="7">
        <f>SUM(K126,N126)</f>
        <v>2640285</v>
      </c>
      <c r="K126" s="1">
        <v>2550285</v>
      </c>
      <c r="L126" s="1">
        <v>1907716</v>
      </c>
      <c r="M126" s="31"/>
      <c r="N126" s="103">
        <f>75000+15000</f>
        <v>90000</v>
      </c>
      <c r="O126" s="86">
        <f>75000+15000</f>
        <v>90000</v>
      </c>
      <c r="P126" s="55">
        <f t="shared" si="7"/>
        <v>33615771</v>
      </c>
    </row>
    <row r="127" spans="1:16" ht="12.75">
      <c r="A127" s="81" t="s">
        <v>354</v>
      </c>
      <c r="B127" s="81" t="s">
        <v>336</v>
      </c>
      <c r="C127" s="30" t="s">
        <v>48</v>
      </c>
      <c r="D127" s="88" t="s">
        <v>341</v>
      </c>
      <c r="E127" s="6"/>
      <c r="F127" s="6"/>
      <c r="G127" s="6"/>
      <c r="H127" s="6"/>
      <c r="I127" s="124"/>
      <c r="J127" s="9">
        <v>1000000</v>
      </c>
      <c r="K127" s="6"/>
      <c r="L127" s="6"/>
      <c r="M127" s="107"/>
      <c r="N127" s="173">
        <v>1000000</v>
      </c>
      <c r="O127" s="174">
        <v>1000000</v>
      </c>
      <c r="P127" s="55">
        <f t="shared" si="7"/>
        <v>1000000</v>
      </c>
    </row>
    <row r="128" spans="1:16" ht="13.5" thickBot="1">
      <c r="A128" s="81" t="s">
        <v>231</v>
      </c>
      <c r="B128" s="81" t="s">
        <v>232</v>
      </c>
      <c r="C128" s="81" t="s">
        <v>233</v>
      </c>
      <c r="D128" s="90" t="s">
        <v>35</v>
      </c>
      <c r="E128" s="9">
        <v>605192</v>
      </c>
      <c r="F128" s="9">
        <v>605192</v>
      </c>
      <c r="G128" s="9">
        <v>467279</v>
      </c>
      <c r="H128" s="6"/>
      <c r="I128" s="124"/>
      <c r="J128" s="6"/>
      <c r="K128" s="6"/>
      <c r="L128" s="6"/>
      <c r="M128" s="107"/>
      <c r="N128" s="6"/>
      <c r="O128" s="6"/>
      <c r="P128" s="55">
        <f t="shared" si="7"/>
        <v>605192</v>
      </c>
    </row>
    <row r="129" spans="1:16" ht="13.5" thickBot="1">
      <c r="A129" s="89">
        <v>4000000</v>
      </c>
      <c r="B129" s="41"/>
      <c r="C129" s="42"/>
      <c r="D129" s="51" t="s">
        <v>297</v>
      </c>
      <c r="E129" s="52">
        <f>SUM(E130:E133)</f>
        <v>54697828</v>
      </c>
      <c r="F129" s="52">
        <f>SUM(F130:F133)</f>
        <v>54697828</v>
      </c>
      <c r="G129" s="52">
        <f>SUM(G130:G133)</f>
        <v>3008828</v>
      </c>
      <c r="H129" s="52">
        <f>SUM(H130:H133)</f>
        <v>5879278</v>
      </c>
      <c r="I129" s="8">
        <f>SUM(I130:I138)</f>
        <v>0</v>
      </c>
      <c r="J129" s="8">
        <f aca="true" t="shared" si="10" ref="J129:O129">SUM(J130:J133,J136:J138)</f>
        <v>39512960</v>
      </c>
      <c r="K129" s="8">
        <f t="shared" si="10"/>
        <v>3467960</v>
      </c>
      <c r="L129" s="8">
        <f t="shared" si="10"/>
        <v>0</v>
      </c>
      <c r="M129" s="8">
        <f t="shared" si="10"/>
        <v>0</v>
      </c>
      <c r="N129" s="8">
        <f t="shared" si="10"/>
        <v>36045000</v>
      </c>
      <c r="O129" s="8">
        <f t="shared" si="10"/>
        <v>34771000</v>
      </c>
      <c r="P129" s="54">
        <f t="shared" si="7"/>
        <v>94210788</v>
      </c>
    </row>
    <row r="130" spans="1:16" ht="12.75">
      <c r="A130" s="36" t="s">
        <v>235</v>
      </c>
      <c r="B130" s="36" t="s">
        <v>59</v>
      </c>
      <c r="C130" s="36" t="s">
        <v>41</v>
      </c>
      <c r="D130" s="18" t="s">
        <v>234</v>
      </c>
      <c r="E130" s="4">
        <v>4147828</v>
      </c>
      <c r="F130" s="4">
        <v>4147828</v>
      </c>
      <c r="G130" s="4">
        <v>3008828</v>
      </c>
      <c r="H130" s="4">
        <v>271315</v>
      </c>
      <c r="I130" s="4"/>
      <c r="J130" s="4">
        <f>39960+311000</f>
        <v>350960</v>
      </c>
      <c r="K130" s="4">
        <v>39960</v>
      </c>
      <c r="L130" s="4"/>
      <c r="M130" s="4"/>
      <c r="N130" s="4">
        <v>311000</v>
      </c>
      <c r="O130" s="5">
        <v>311000</v>
      </c>
      <c r="P130" s="55">
        <f t="shared" si="7"/>
        <v>4498788</v>
      </c>
    </row>
    <row r="131" spans="1:16" ht="12.75">
      <c r="A131" s="36" t="s">
        <v>267</v>
      </c>
      <c r="B131" s="36" t="s">
        <v>269</v>
      </c>
      <c r="C131" s="36" t="s">
        <v>268</v>
      </c>
      <c r="D131" s="18" t="s">
        <v>270</v>
      </c>
      <c r="E131" s="4"/>
      <c r="F131" s="4"/>
      <c r="G131" s="4"/>
      <c r="H131" s="4"/>
      <c r="I131" s="4"/>
      <c r="J131" s="4">
        <f>100000+30000+1170000+900000</f>
        <v>2200000</v>
      </c>
      <c r="K131" s="4"/>
      <c r="L131" s="4"/>
      <c r="M131" s="4"/>
      <c r="N131" s="4">
        <f>100000+30000+1170000+900000</f>
        <v>2200000</v>
      </c>
      <c r="O131" s="4">
        <f>100000+30000+1170000+900000</f>
        <v>2200000</v>
      </c>
      <c r="P131" s="55">
        <f t="shared" si="7"/>
        <v>2200000</v>
      </c>
    </row>
    <row r="132" spans="1:16" ht="12.75">
      <c r="A132" s="30" t="s">
        <v>236</v>
      </c>
      <c r="B132" s="30" t="s">
        <v>237</v>
      </c>
      <c r="C132" s="30" t="s">
        <v>238</v>
      </c>
      <c r="D132" s="11" t="s">
        <v>239</v>
      </c>
      <c r="E132" s="7">
        <f>38800000+5200000+6050000</f>
        <v>50050000</v>
      </c>
      <c r="F132" s="7">
        <f>38800000+5200000+6050000</f>
        <v>50050000</v>
      </c>
      <c r="G132" s="7"/>
      <c r="H132" s="7">
        <v>5607963</v>
      </c>
      <c r="I132" s="7"/>
      <c r="J132" s="7">
        <f>1230000-30000+14485000+12240000-100000</f>
        <v>27825000</v>
      </c>
      <c r="K132" s="7"/>
      <c r="L132" s="7"/>
      <c r="M132" s="7"/>
      <c r="N132" s="7">
        <f>1230000-30000+14485000+12240000-100000</f>
        <v>27825000</v>
      </c>
      <c r="O132" s="7">
        <f>1230000-30000+14485000+12240000-100000</f>
        <v>27825000</v>
      </c>
      <c r="P132" s="55">
        <f t="shared" si="7"/>
        <v>77875000</v>
      </c>
    </row>
    <row r="133" spans="1:16" ht="12.75">
      <c r="A133" s="30" t="s">
        <v>266</v>
      </c>
      <c r="B133" s="30" t="s">
        <v>54</v>
      </c>
      <c r="C133" s="30" t="s">
        <v>55</v>
      </c>
      <c r="D133" s="88" t="s">
        <v>257</v>
      </c>
      <c r="E133" s="1">
        <f>500000</f>
        <v>500000</v>
      </c>
      <c r="F133" s="1">
        <f>500000</f>
        <v>500000</v>
      </c>
      <c r="G133" s="7"/>
      <c r="H133" s="7"/>
      <c r="I133" s="7"/>
      <c r="J133" s="7">
        <f>720000+1280000</f>
        <v>2000000</v>
      </c>
      <c r="K133" s="7"/>
      <c r="L133" s="7"/>
      <c r="M133" s="7"/>
      <c r="N133" s="7">
        <f>720000+1280000</f>
        <v>2000000</v>
      </c>
      <c r="O133" s="7">
        <f>720000+1280000</f>
        <v>2000000</v>
      </c>
      <c r="P133" s="55">
        <f t="shared" si="7"/>
        <v>2500000</v>
      </c>
    </row>
    <row r="134" spans="1:16" ht="24">
      <c r="A134" s="30"/>
      <c r="B134" s="30"/>
      <c r="C134" s="30"/>
      <c r="D134" s="88" t="s">
        <v>345</v>
      </c>
      <c r="E134" s="7">
        <v>500000</v>
      </c>
      <c r="F134" s="7">
        <v>500000</v>
      </c>
      <c r="G134" s="7"/>
      <c r="H134" s="7"/>
      <c r="I134" s="7"/>
      <c r="J134" s="7"/>
      <c r="K134" s="7"/>
      <c r="L134" s="7"/>
      <c r="M134" s="7"/>
      <c r="N134" s="7"/>
      <c r="O134" s="1"/>
      <c r="P134" s="55">
        <f t="shared" si="7"/>
        <v>500000</v>
      </c>
    </row>
    <row r="135" spans="1:16" ht="24">
      <c r="A135" s="30"/>
      <c r="B135" s="30"/>
      <c r="C135" s="30"/>
      <c r="D135" s="88" t="s">
        <v>346</v>
      </c>
      <c r="E135" s="7"/>
      <c r="F135" s="7"/>
      <c r="G135" s="7"/>
      <c r="H135" s="7"/>
      <c r="I135" s="7"/>
      <c r="J135" s="7">
        <f>1280000+720000</f>
        <v>2000000</v>
      </c>
      <c r="K135" s="7"/>
      <c r="L135" s="7"/>
      <c r="M135" s="7"/>
      <c r="N135" s="7">
        <f>1280000+720000</f>
        <v>2000000</v>
      </c>
      <c r="O135" s="7">
        <f>1280000+720000</f>
        <v>2000000</v>
      </c>
      <c r="P135" s="55">
        <f t="shared" si="7"/>
        <v>2000000</v>
      </c>
    </row>
    <row r="136" spans="1:16" ht="12.75">
      <c r="A136" s="30" t="s">
        <v>340</v>
      </c>
      <c r="B136" s="30" t="s">
        <v>336</v>
      </c>
      <c r="C136" s="30" t="s">
        <v>48</v>
      </c>
      <c r="D136" s="88" t="s">
        <v>341</v>
      </c>
      <c r="E136" s="7"/>
      <c r="F136" s="7"/>
      <c r="G136" s="7"/>
      <c r="H136" s="7"/>
      <c r="I136" s="7"/>
      <c r="J136" s="7">
        <f>1760000+675000</f>
        <v>2435000</v>
      </c>
      <c r="K136" s="7"/>
      <c r="L136" s="7"/>
      <c r="M136" s="7"/>
      <c r="N136" s="7">
        <f>1760000+675000</f>
        <v>2435000</v>
      </c>
      <c r="O136" s="7">
        <f>1760000+675000</f>
        <v>2435000</v>
      </c>
      <c r="P136" s="55">
        <f t="shared" si="7"/>
        <v>2435000</v>
      </c>
    </row>
    <row r="137" spans="1:16" ht="24">
      <c r="A137" s="30" t="s">
        <v>240</v>
      </c>
      <c r="B137" s="30" t="s">
        <v>241</v>
      </c>
      <c r="C137" s="30" t="s">
        <v>55</v>
      </c>
      <c r="D137" s="66" t="s">
        <v>242</v>
      </c>
      <c r="E137" s="7"/>
      <c r="F137" s="7"/>
      <c r="G137" s="7"/>
      <c r="H137" s="7"/>
      <c r="I137" s="7"/>
      <c r="J137" s="7">
        <v>2404000</v>
      </c>
      <c r="K137" s="7">
        <v>2209000</v>
      </c>
      <c r="L137" s="7"/>
      <c r="M137" s="7"/>
      <c r="N137" s="7">
        <v>195000</v>
      </c>
      <c r="O137" s="1"/>
      <c r="P137" s="55">
        <f t="shared" si="7"/>
        <v>2404000</v>
      </c>
    </row>
    <row r="138" spans="1:16" ht="24.75" thickBot="1">
      <c r="A138" s="32" t="s">
        <v>265</v>
      </c>
      <c r="B138" s="32" t="s">
        <v>56</v>
      </c>
      <c r="C138" s="32" t="s">
        <v>271</v>
      </c>
      <c r="D138" s="82" t="s">
        <v>8</v>
      </c>
      <c r="E138" s="83"/>
      <c r="F138" s="83"/>
      <c r="G138" s="9"/>
      <c r="H138" s="9"/>
      <c r="I138" s="9"/>
      <c r="J138" s="9">
        <f>1254000+1044000</f>
        <v>2298000</v>
      </c>
      <c r="K138" s="9">
        <f>955000+264000</f>
        <v>1219000</v>
      </c>
      <c r="L138" s="9"/>
      <c r="M138" s="9"/>
      <c r="N138" s="9">
        <f>299000+780000</f>
        <v>1079000</v>
      </c>
      <c r="O138" s="6"/>
      <c r="P138" s="102">
        <f t="shared" si="7"/>
        <v>2298000</v>
      </c>
    </row>
    <row r="139" spans="1:16" ht="13.5" thickBot="1">
      <c r="A139" s="89">
        <v>4500000</v>
      </c>
      <c r="B139" s="37"/>
      <c r="C139" s="38"/>
      <c r="D139" s="39" t="s">
        <v>18</v>
      </c>
      <c r="E139" s="8">
        <f>SUM(E140)</f>
        <v>1067433</v>
      </c>
      <c r="F139" s="8">
        <f aca="true" t="shared" si="11" ref="F139:O139">SUM(F140)</f>
        <v>1067433</v>
      </c>
      <c r="G139" s="8">
        <f t="shared" si="11"/>
        <v>874945</v>
      </c>
      <c r="H139" s="8">
        <f t="shared" si="11"/>
        <v>0</v>
      </c>
      <c r="I139" s="8">
        <f t="shared" si="11"/>
        <v>0</v>
      </c>
      <c r="J139" s="8">
        <f t="shared" si="11"/>
        <v>926310</v>
      </c>
      <c r="K139" s="8">
        <f t="shared" si="11"/>
        <v>926310</v>
      </c>
      <c r="L139" s="8"/>
      <c r="M139" s="8">
        <f t="shared" si="11"/>
        <v>179255</v>
      </c>
      <c r="N139" s="8">
        <f t="shared" si="11"/>
        <v>0</v>
      </c>
      <c r="O139" s="17">
        <f t="shared" si="11"/>
        <v>0</v>
      </c>
      <c r="P139" s="54">
        <f t="shared" si="7"/>
        <v>1993743</v>
      </c>
    </row>
    <row r="140" spans="1:16" ht="13.5" thickBot="1">
      <c r="A140" s="125" t="s">
        <v>244</v>
      </c>
      <c r="B140" s="125" t="s">
        <v>59</v>
      </c>
      <c r="C140" s="125" t="s">
        <v>41</v>
      </c>
      <c r="D140" s="18" t="s">
        <v>243</v>
      </c>
      <c r="E140" s="40">
        <v>1067433</v>
      </c>
      <c r="F140" s="61">
        <v>1067433</v>
      </c>
      <c r="G140" s="61">
        <v>874945</v>
      </c>
      <c r="H140" s="40"/>
      <c r="I140" s="61"/>
      <c r="J140" s="4">
        <f>SUM(K140,N140)</f>
        <v>926310</v>
      </c>
      <c r="K140" s="61">
        <v>926310</v>
      </c>
      <c r="L140" s="61"/>
      <c r="M140" s="61">
        <v>179255</v>
      </c>
      <c r="N140" s="61">
        <f>39000-39000</f>
        <v>0</v>
      </c>
      <c r="O140" s="61">
        <f>39000-39000</f>
        <v>0</v>
      </c>
      <c r="P140" s="102">
        <f t="shared" si="7"/>
        <v>1993743</v>
      </c>
    </row>
    <row r="141" spans="1:16" ht="13.5" thickBot="1">
      <c r="A141" s="89">
        <v>4700000</v>
      </c>
      <c r="B141" s="37"/>
      <c r="C141" s="38"/>
      <c r="D141" s="39" t="s">
        <v>1</v>
      </c>
      <c r="E141" s="52">
        <f aca="true" t="shared" si="12" ref="E141:O141">SUM(E142:E157)</f>
        <v>912685</v>
      </c>
      <c r="F141" s="52">
        <f t="shared" si="12"/>
        <v>912685</v>
      </c>
      <c r="G141" s="52">
        <f t="shared" si="12"/>
        <v>696038</v>
      </c>
      <c r="H141" s="52">
        <f t="shared" si="12"/>
        <v>33419</v>
      </c>
      <c r="I141" s="52">
        <f t="shared" si="12"/>
        <v>0</v>
      </c>
      <c r="J141" s="52">
        <f t="shared" si="12"/>
        <v>53042415</v>
      </c>
      <c r="K141" s="52">
        <f t="shared" si="12"/>
        <v>497689</v>
      </c>
      <c r="L141" s="52">
        <f t="shared" si="12"/>
        <v>321257</v>
      </c>
      <c r="M141" s="52">
        <f t="shared" si="12"/>
        <v>12920</v>
      </c>
      <c r="N141" s="52">
        <f t="shared" si="12"/>
        <v>52544726</v>
      </c>
      <c r="O141" s="126">
        <f t="shared" si="12"/>
        <v>52514726</v>
      </c>
      <c r="P141" s="54">
        <f t="shared" si="7"/>
        <v>53955100</v>
      </c>
    </row>
    <row r="142" spans="1:16" ht="12.75">
      <c r="A142" s="36" t="s">
        <v>246</v>
      </c>
      <c r="B142" s="36" t="s">
        <v>59</v>
      </c>
      <c r="C142" s="36" t="s">
        <v>41</v>
      </c>
      <c r="D142" s="18" t="s">
        <v>245</v>
      </c>
      <c r="E142" s="4">
        <v>912685</v>
      </c>
      <c r="F142" s="5">
        <v>912685</v>
      </c>
      <c r="G142" s="5">
        <v>696038</v>
      </c>
      <c r="H142" s="4">
        <v>33419</v>
      </c>
      <c r="I142" s="5"/>
      <c r="J142" s="4">
        <f>SUM(K142,N142)</f>
        <v>825919</v>
      </c>
      <c r="K142" s="5">
        <v>497689</v>
      </c>
      <c r="L142" s="5">
        <v>321257</v>
      </c>
      <c r="M142" s="5">
        <v>12920</v>
      </c>
      <c r="N142" s="5">
        <f>30000+200000+98230</f>
        <v>328230</v>
      </c>
      <c r="O142" s="5">
        <f>200000+98230</f>
        <v>298230</v>
      </c>
      <c r="P142" s="55">
        <f t="shared" si="7"/>
        <v>1738604</v>
      </c>
    </row>
    <row r="143" spans="1:16" ht="12.75">
      <c r="A143" s="67" t="s">
        <v>322</v>
      </c>
      <c r="B143" s="36" t="s">
        <v>62</v>
      </c>
      <c r="C143" s="36" t="s">
        <v>63</v>
      </c>
      <c r="D143" s="19" t="s">
        <v>60</v>
      </c>
      <c r="E143" s="7"/>
      <c r="F143" s="1"/>
      <c r="G143" s="1"/>
      <c r="H143" s="7"/>
      <c r="I143" s="1"/>
      <c r="J143" s="7">
        <f>2975000+390000</f>
        <v>3365000</v>
      </c>
      <c r="K143" s="1"/>
      <c r="L143" s="1"/>
      <c r="M143" s="1"/>
      <c r="N143" s="7">
        <f>2975000+390000</f>
        <v>3365000</v>
      </c>
      <c r="O143" s="7">
        <f>2975000+390000</f>
        <v>3365000</v>
      </c>
      <c r="P143" s="55">
        <f t="shared" si="7"/>
        <v>3365000</v>
      </c>
    </row>
    <row r="144" spans="1:16" ht="42" customHeight="1">
      <c r="A144" s="30" t="s">
        <v>323</v>
      </c>
      <c r="B144" s="36" t="s">
        <v>65</v>
      </c>
      <c r="C144" s="36" t="s">
        <v>66</v>
      </c>
      <c r="D144" s="35" t="s">
        <v>335</v>
      </c>
      <c r="E144" s="7"/>
      <c r="F144" s="1"/>
      <c r="G144" s="1"/>
      <c r="H144" s="7"/>
      <c r="I144" s="1"/>
      <c r="J144" s="7">
        <f>2975000+230000+30000</f>
        <v>3235000</v>
      </c>
      <c r="K144" s="1"/>
      <c r="L144" s="1"/>
      <c r="M144" s="1"/>
      <c r="N144" s="7">
        <f>2975000+230000+30000</f>
        <v>3235000</v>
      </c>
      <c r="O144" s="7">
        <f>2975000+230000+30000</f>
        <v>3235000</v>
      </c>
      <c r="P144" s="55">
        <f t="shared" si="7"/>
        <v>3235000</v>
      </c>
    </row>
    <row r="145" spans="1:16" ht="48">
      <c r="A145" s="30" t="s">
        <v>324</v>
      </c>
      <c r="B145" s="36" t="s">
        <v>70</v>
      </c>
      <c r="C145" s="36" t="s">
        <v>71</v>
      </c>
      <c r="D145" s="35" t="s">
        <v>334</v>
      </c>
      <c r="E145" s="7"/>
      <c r="F145" s="1"/>
      <c r="G145" s="1"/>
      <c r="H145" s="7"/>
      <c r="I145" s="1"/>
      <c r="J145" s="7">
        <v>500000</v>
      </c>
      <c r="K145" s="1"/>
      <c r="L145" s="1"/>
      <c r="M145" s="1"/>
      <c r="N145" s="1">
        <v>500000</v>
      </c>
      <c r="O145" s="1">
        <v>500000</v>
      </c>
      <c r="P145" s="55">
        <f t="shared" si="7"/>
        <v>500000</v>
      </c>
    </row>
    <row r="146" spans="1:16" ht="12.75">
      <c r="A146" s="30" t="s">
        <v>325</v>
      </c>
      <c r="B146" s="36" t="s">
        <v>80</v>
      </c>
      <c r="C146" s="36" t="s">
        <v>77</v>
      </c>
      <c r="D146" s="19" t="s">
        <v>81</v>
      </c>
      <c r="E146" s="7"/>
      <c r="F146" s="1"/>
      <c r="G146" s="1"/>
      <c r="H146" s="7"/>
      <c r="I146" s="1"/>
      <c r="J146" s="7">
        <v>235000</v>
      </c>
      <c r="K146" s="1"/>
      <c r="L146" s="1"/>
      <c r="M146" s="1"/>
      <c r="N146" s="1">
        <v>235000</v>
      </c>
      <c r="O146" s="1">
        <v>235000</v>
      </c>
      <c r="P146" s="55">
        <f t="shared" si="7"/>
        <v>235000</v>
      </c>
    </row>
    <row r="147" spans="1:16" ht="36">
      <c r="A147" s="30" t="s">
        <v>326</v>
      </c>
      <c r="B147" s="36" t="s">
        <v>280</v>
      </c>
      <c r="C147" s="36" t="s">
        <v>91</v>
      </c>
      <c r="D147" s="82" t="s">
        <v>282</v>
      </c>
      <c r="E147" s="7"/>
      <c r="F147" s="1"/>
      <c r="G147" s="1"/>
      <c r="H147" s="7"/>
      <c r="I147" s="1"/>
      <c r="J147" s="7">
        <f>1100000+410000+20000</f>
        <v>1530000</v>
      </c>
      <c r="K147" s="1"/>
      <c r="L147" s="1"/>
      <c r="M147" s="1"/>
      <c r="N147" s="7">
        <f>1100000+410000+20000</f>
        <v>1530000</v>
      </c>
      <c r="O147" s="7">
        <f>1100000+410000+20000</f>
        <v>1530000</v>
      </c>
      <c r="P147" s="55">
        <f t="shared" si="7"/>
        <v>1530000</v>
      </c>
    </row>
    <row r="148" spans="1:16" ht="24">
      <c r="A148" s="30" t="s">
        <v>327</v>
      </c>
      <c r="B148" s="36" t="s">
        <v>274</v>
      </c>
      <c r="C148" s="36" t="s">
        <v>91</v>
      </c>
      <c r="D148" s="66" t="s">
        <v>92</v>
      </c>
      <c r="E148" s="7"/>
      <c r="F148" s="1"/>
      <c r="G148" s="1"/>
      <c r="H148" s="7"/>
      <c r="I148" s="1"/>
      <c r="J148" s="7">
        <f>1700000+250000</f>
        <v>1950000</v>
      </c>
      <c r="K148" s="1"/>
      <c r="L148" s="1"/>
      <c r="M148" s="1"/>
      <c r="N148" s="7">
        <f>1700000+250000</f>
        <v>1950000</v>
      </c>
      <c r="O148" s="7">
        <f>1700000+250000</f>
        <v>1950000</v>
      </c>
      <c r="P148" s="55">
        <f t="shared" si="7"/>
        <v>1950000</v>
      </c>
    </row>
    <row r="149" spans="1:16" ht="12.75">
      <c r="A149" s="30" t="s">
        <v>351</v>
      </c>
      <c r="B149" s="36" t="s">
        <v>205</v>
      </c>
      <c r="C149" s="36" t="s">
        <v>62</v>
      </c>
      <c r="D149" s="66" t="s">
        <v>206</v>
      </c>
      <c r="E149" s="7"/>
      <c r="F149" s="1"/>
      <c r="G149" s="1"/>
      <c r="H149" s="7"/>
      <c r="I149" s="1"/>
      <c r="J149" s="7">
        <v>100000</v>
      </c>
      <c r="K149" s="1"/>
      <c r="L149" s="1"/>
      <c r="M149" s="1"/>
      <c r="N149" s="7">
        <v>100000</v>
      </c>
      <c r="O149" s="7">
        <v>100000</v>
      </c>
      <c r="P149" s="55">
        <f t="shared" si="7"/>
        <v>100000</v>
      </c>
    </row>
    <row r="150" spans="1:16" ht="12.75">
      <c r="A150" s="30" t="s">
        <v>352</v>
      </c>
      <c r="B150" s="36" t="s">
        <v>96</v>
      </c>
      <c r="C150" s="36" t="s">
        <v>97</v>
      </c>
      <c r="D150" s="11" t="s">
        <v>98</v>
      </c>
      <c r="E150" s="7"/>
      <c r="F150" s="1"/>
      <c r="G150" s="1"/>
      <c r="H150" s="7"/>
      <c r="I150" s="1"/>
      <c r="J150" s="7">
        <v>100000</v>
      </c>
      <c r="K150" s="1"/>
      <c r="L150" s="1"/>
      <c r="M150" s="1"/>
      <c r="N150" s="7">
        <v>100000</v>
      </c>
      <c r="O150" s="7">
        <v>100000</v>
      </c>
      <c r="P150" s="55">
        <f t="shared" si="7"/>
        <v>100000</v>
      </c>
    </row>
    <row r="151" spans="1:16" ht="12.75">
      <c r="A151" s="30" t="s">
        <v>328</v>
      </c>
      <c r="B151" s="36" t="s">
        <v>295</v>
      </c>
      <c r="C151" s="36" t="s">
        <v>97</v>
      </c>
      <c r="D151" s="11" t="s">
        <v>296</v>
      </c>
      <c r="E151" s="7"/>
      <c r="F151" s="1"/>
      <c r="G151" s="1"/>
      <c r="H151" s="7"/>
      <c r="I151" s="1"/>
      <c r="J151" s="7">
        <v>550000</v>
      </c>
      <c r="K151" s="1"/>
      <c r="L151" s="1"/>
      <c r="M151" s="1"/>
      <c r="N151" s="1">
        <v>550000</v>
      </c>
      <c r="O151" s="1">
        <v>550000</v>
      </c>
      <c r="P151" s="55">
        <f t="shared" si="7"/>
        <v>550000</v>
      </c>
    </row>
    <row r="152" spans="1:16" ht="24">
      <c r="A152" s="30" t="s">
        <v>329</v>
      </c>
      <c r="B152" s="36" t="s">
        <v>224</v>
      </c>
      <c r="C152" s="36" t="s">
        <v>225</v>
      </c>
      <c r="D152" s="35" t="s">
        <v>33</v>
      </c>
      <c r="E152" s="7"/>
      <c r="F152" s="1"/>
      <c r="G152" s="1"/>
      <c r="H152" s="7"/>
      <c r="I152" s="1"/>
      <c r="J152" s="7">
        <v>100000</v>
      </c>
      <c r="K152" s="1"/>
      <c r="L152" s="1"/>
      <c r="M152" s="1"/>
      <c r="N152" s="1">
        <v>100000</v>
      </c>
      <c r="O152" s="1">
        <v>100000</v>
      </c>
      <c r="P152" s="55">
        <f t="shared" si="7"/>
        <v>100000</v>
      </c>
    </row>
    <row r="153" spans="1:16" ht="12.75">
      <c r="A153" s="30" t="s">
        <v>330</v>
      </c>
      <c r="B153" s="36" t="s">
        <v>230</v>
      </c>
      <c r="C153" s="36" t="s">
        <v>73</v>
      </c>
      <c r="D153" s="19" t="s">
        <v>34</v>
      </c>
      <c r="E153" s="7"/>
      <c r="F153" s="1"/>
      <c r="G153" s="1"/>
      <c r="H153" s="7"/>
      <c r="I153" s="1"/>
      <c r="J153" s="7">
        <v>230000</v>
      </c>
      <c r="K153" s="1"/>
      <c r="L153" s="1"/>
      <c r="M153" s="1"/>
      <c r="N153" s="1">
        <v>230000</v>
      </c>
      <c r="O153" s="1">
        <v>230000</v>
      </c>
      <c r="P153" s="55">
        <f t="shared" si="7"/>
        <v>230000</v>
      </c>
    </row>
    <row r="154" spans="1:16" ht="12.75">
      <c r="A154" s="30" t="s">
        <v>331</v>
      </c>
      <c r="B154" s="36" t="s">
        <v>227</v>
      </c>
      <c r="C154" s="36" t="s">
        <v>228</v>
      </c>
      <c r="D154" s="19" t="s">
        <v>7</v>
      </c>
      <c r="E154" s="7"/>
      <c r="F154" s="1"/>
      <c r="G154" s="1"/>
      <c r="H154" s="7"/>
      <c r="I154" s="1"/>
      <c r="J154" s="7">
        <f>160000+70000</f>
        <v>230000</v>
      </c>
      <c r="K154" s="1"/>
      <c r="L154" s="1"/>
      <c r="M154" s="1"/>
      <c r="N154" s="7">
        <f>160000+70000</f>
        <v>230000</v>
      </c>
      <c r="O154" s="7">
        <f>160000+70000</f>
        <v>230000</v>
      </c>
      <c r="P154" s="55">
        <f t="shared" si="7"/>
        <v>230000</v>
      </c>
    </row>
    <row r="155" spans="1:16" ht="12.75">
      <c r="A155" s="30" t="s">
        <v>347</v>
      </c>
      <c r="B155" s="36" t="s">
        <v>117</v>
      </c>
      <c r="C155" s="36" t="s">
        <v>118</v>
      </c>
      <c r="D155" s="19" t="s">
        <v>348</v>
      </c>
      <c r="E155" s="7"/>
      <c r="F155" s="1"/>
      <c r="G155" s="1"/>
      <c r="H155" s="7"/>
      <c r="I155" s="1"/>
      <c r="J155" s="7">
        <v>100000</v>
      </c>
      <c r="K155" s="1"/>
      <c r="L155" s="1"/>
      <c r="M155" s="1"/>
      <c r="N155" s="1">
        <v>100000</v>
      </c>
      <c r="O155" s="1">
        <v>100000</v>
      </c>
      <c r="P155" s="55">
        <f t="shared" si="7"/>
        <v>100000</v>
      </c>
    </row>
    <row r="156" spans="1:16" ht="12.75">
      <c r="A156" s="30" t="s">
        <v>332</v>
      </c>
      <c r="B156" s="36" t="s">
        <v>126</v>
      </c>
      <c r="C156" s="36" t="s">
        <v>127</v>
      </c>
      <c r="D156" s="19" t="s">
        <v>333</v>
      </c>
      <c r="E156" s="7"/>
      <c r="F156" s="1"/>
      <c r="G156" s="1"/>
      <c r="H156" s="7"/>
      <c r="I156" s="1"/>
      <c r="J156" s="7">
        <f>400000+300000</f>
        <v>700000</v>
      </c>
      <c r="K156" s="1"/>
      <c r="L156" s="1"/>
      <c r="M156" s="1"/>
      <c r="N156" s="7">
        <f>400000+300000</f>
        <v>700000</v>
      </c>
      <c r="O156" s="7">
        <f>400000+300000</f>
        <v>700000</v>
      </c>
      <c r="P156" s="55">
        <f t="shared" si="7"/>
        <v>700000</v>
      </c>
    </row>
    <row r="157" spans="1:16" ht="13.5" thickBot="1">
      <c r="A157" s="67" t="s">
        <v>262</v>
      </c>
      <c r="B157" s="29" t="s">
        <v>47</v>
      </c>
      <c r="C157" s="29" t="s">
        <v>48</v>
      </c>
      <c r="D157" s="11" t="s">
        <v>46</v>
      </c>
      <c r="E157" s="84"/>
      <c r="F157" s="84"/>
      <c r="G157" s="84"/>
      <c r="H157" s="84"/>
      <c r="I157" s="84"/>
      <c r="J157" s="50">
        <f>5400000-1330000+34156701+564795+330000+170000</f>
        <v>39291496</v>
      </c>
      <c r="K157" s="85"/>
      <c r="L157" s="85"/>
      <c r="M157" s="85"/>
      <c r="N157" s="50">
        <f>5400000-1330000+34156701+564795+330000+170000</f>
        <v>39291496</v>
      </c>
      <c r="O157" s="50">
        <f>5400000-1330000+34156701+564795+330000+170000</f>
        <v>39291496</v>
      </c>
      <c r="P157" s="102">
        <f t="shared" si="7"/>
        <v>39291496</v>
      </c>
    </row>
    <row r="158" spans="1:16" ht="13.5" thickBot="1">
      <c r="A158" s="89">
        <v>4800000</v>
      </c>
      <c r="B158" s="41"/>
      <c r="C158" s="127"/>
      <c r="D158" s="43" t="s">
        <v>4</v>
      </c>
      <c r="E158" s="52">
        <f aca="true" t="shared" si="13" ref="E158:M158">SUM(E159:E159)</f>
        <v>2073689</v>
      </c>
      <c r="F158" s="52">
        <f t="shared" si="13"/>
        <v>2073689</v>
      </c>
      <c r="G158" s="52">
        <f t="shared" si="13"/>
        <v>1529696</v>
      </c>
      <c r="H158" s="52">
        <f t="shared" si="13"/>
        <v>70820</v>
      </c>
      <c r="I158" s="52">
        <f t="shared" si="13"/>
        <v>0</v>
      </c>
      <c r="J158" s="52">
        <f>SUM(J159:J160)</f>
        <v>2296000</v>
      </c>
      <c r="K158" s="52">
        <f t="shared" si="13"/>
        <v>0</v>
      </c>
      <c r="L158" s="52">
        <f t="shared" si="13"/>
        <v>0</v>
      </c>
      <c r="M158" s="52">
        <f t="shared" si="13"/>
        <v>0</v>
      </c>
      <c r="N158" s="52">
        <f>SUM(N159:N160)</f>
        <v>2296000</v>
      </c>
      <c r="O158" s="52">
        <f>SUM(O159:O160)</f>
        <v>2296000</v>
      </c>
      <c r="P158" s="54">
        <f t="shared" si="7"/>
        <v>4369689</v>
      </c>
    </row>
    <row r="159" spans="1:16" s="24" customFormat="1" ht="12.75">
      <c r="A159" s="36" t="s">
        <v>247</v>
      </c>
      <c r="B159" s="36" t="s">
        <v>59</v>
      </c>
      <c r="C159" s="36" t="s">
        <v>41</v>
      </c>
      <c r="D159" s="18" t="s">
        <v>248</v>
      </c>
      <c r="E159" s="4">
        <v>2073689</v>
      </c>
      <c r="F159" s="4">
        <v>2073689</v>
      </c>
      <c r="G159" s="4">
        <v>1529696</v>
      </c>
      <c r="H159" s="4">
        <v>70820</v>
      </c>
      <c r="I159" s="4"/>
      <c r="J159" s="4"/>
      <c r="K159" s="4"/>
      <c r="L159" s="4"/>
      <c r="M159" s="4"/>
      <c r="N159" s="4"/>
      <c r="O159" s="5"/>
      <c r="P159" s="55">
        <f t="shared" si="7"/>
        <v>2073689</v>
      </c>
    </row>
    <row r="160" spans="1:16" s="24" customFormat="1" ht="13.5" thickBot="1">
      <c r="A160" s="67" t="s">
        <v>342</v>
      </c>
      <c r="B160" s="67" t="s">
        <v>337</v>
      </c>
      <c r="C160" s="67" t="s">
        <v>343</v>
      </c>
      <c r="D160" s="172" t="s">
        <v>344</v>
      </c>
      <c r="E160" s="60"/>
      <c r="F160" s="60"/>
      <c r="G160" s="60"/>
      <c r="H160" s="60"/>
      <c r="I160" s="60"/>
      <c r="J160" s="60">
        <v>2296000</v>
      </c>
      <c r="K160" s="60"/>
      <c r="L160" s="60"/>
      <c r="M160" s="60"/>
      <c r="N160" s="60">
        <v>2296000</v>
      </c>
      <c r="O160" s="119">
        <v>2296000</v>
      </c>
      <c r="P160" s="55">
        <f t="shared" si="7"/>
        <v>2296000</v>
      </c>
    </row>
    <row r="161" spans="1:16" ht="13.5" thickBot="1">
      <c r="A161" s="89">
        <v>6700000</v>
      </c>
      <c r="B161" s="41"/>
      <c r="C161" s="42"/>
      <c r="D161" s="43" t="s">
        <v>0</v>
      </c>
      <c r="E161" s="8">
        <f>SUM(E162)</f>
        <v>1185363</v>
      </c>
      <c r="F161" s="8">
        <f aca="true" t="shared" si="14" ref="F161:O161">SUM(F162)</f>
        <v>1185363</v>
      </c>
      <c r="G161" s="8">
        <f t="shared" si="14"/>
        <v>881366</v>
      </c>
      <c r="H161" s="8">
        <f t="shared" si="14"/>
        <v>90446</v>
      </c>
      <c r="I161" s="8">
        <f t="shared" si="14"/>
        <v>0</v>
      </c>
      <c r="J161" s="8">
        <f t="shared" si="14"/>
        <v>764360</v>
      </c>
      <c r="K161" s="8">
        <f t="shared" si="14"/>
        <v>254360</v>
      </c>
      <c r="L161" s="8">
        <f t="shared" si="14"/>
        <v>0</v>
      </c>
      <c r="M161" s="8">
        <f t="shared" si="14"/>
        <v>189001</v>
      </c>
      <c r="N161" s="8">
        <f t="shared" si="14"/>
        <v>510000</v>
      </c>
      <c r="O161" s="17">
        <f t="shared" si="14"/>
        <v>500000</v>
      </c>
      <c r="P161" s="54">
        <f t="shared" si="7"/>
        <v>1949723</v>
      </c>
    </row>
    <row r="162" spans="1:16" s="24" customFormat="1" ht="13.5" thickBot="1">
      <c r="A162" s="125" t="s">
        <v>250</v>
      </c>
      <c r="B162" s="125" t="s">
        <v>59</v>
      </c>
      <c r="C162" s="125" t="s">
        <v>41</v>
      </c>
      <c r="D162" s="18" t="s">
        <v>249</v>
      </c>
      <c r="E162" s="40">
        <v>1185363</v>
      </c>
      <c r="F162" s="40">
        <v>1185363</v>
      </c>
      <c r="G162" s="40">
        <v>881366</v>
      </c>
      <c r="H162" s="40">
        <v>90446</v>
      </c>
      <c r="I162" s="40"/>
      <c r="J162" s="4">
        <f>SUM(K162,N162)</f>
        <v>764360</v>
      </c>
      <c r="K162" s="128">
        <v>254360</v>
      </c>
      <c r="L162" s="40"/>
      <c r="M162" s="40">
        <v>189001</v>
      </c>
      <c r="N162" s="40">
        <f>10000+500000</f>
        <v>510000</v>
      </c>
      <c r="O162" s="61">
        <v>500000</v>
      </c>
      <c r="P162" s="102">
        <f t="shared" si="7"/>
        <v>1949723</v>
      </c>
    </row>
    <row r="163" spans="1:16" s="24" customFormat="1" ht="13.5" thickBot="1">
      <c r="A163" s="89">
        <v>7500000</v>
      </c>
      <c r="B163" s="41"/>
      <c r="C163" s="42"/>
      <c r="D163" s="43" t="s">
        <v>30</v>
      </c>
      <c r="E163" s="8">
        <f>SUM(E164)</f>
        <v>2789977</v>
      </c>
      <c r="F163" s="8">
        <f>SUM(F164)</f>
        <v>2789977</v>
      </c>
      <c r="G163" s="8">
        <f>SUM(G164)</f>
        <v>1838214</v>
      </c>
      <c r="H163" s="8">
        <f>SUM(H164)</f>
        <v>83042</v>
      </c>
      <c r="I163" s="8">
        <f>SUM(I164)</f>
        <v>0</v>
      </c>
      <c r="J163" s="8">
        <f aca="true" t="shared" si="15" ref="J163:O163">SUM(J164:J164)</f>
        <v>196562</v>
      </c>
      <c r="K163" s="8">
        <f t="shared" si="15"/>
        <v>26562</v>
      </c>
      <c r="L163" s="8">
        <f t="shared" si="15"/>
        <v>0</v>
      </c>
      <c r="M163" s="8">
        <f t="shared" si="15"/>
        <v>24894</v>
      </c>
      <c r="N163" s="8">
        <f t="shared" si="15"/>
        <v>170000</v>
      </c>
      <c r="O163" s="8">
        <f t="shared" si="15"/>
        <v>170000</v>
      </c>
      <c r="P163" s="54">
        <f t="shared" si="7"/>
        <v>2986539</v>
      </c>
    </row>
    <row r="164" spans="1:16" s="24" customFormat="1" ht="13.5" thickBot="1">
      <c r="A164" s="36" t="s">
        <v>252</v>
      </c>
      <c r="B164" s="36" t="s">
        <v>59</v>
      </c>
      <c r="C164" s="36" t="s">
        <v>41</v>
      </c>
      <c r="D164" s="18" t="s">
        <v>251</v>
      </c>
      <c r="E164" s="5">
        <v>2789977</v>
      </c>
      <c r="F164" s="5">
        <v>2789977</v>
      </c>
      <c r="G164" s="5">
        <v>1838214</v>
      </c>
      <c r="H164" s="5">
        <v>83042</v>
      </c>
      <c r="I164" s="129"/>
      <c r="J164" s="4">
        <f>SUM(K164,N164)</f>
        <v>196562</v>
      </c>
      <c r="K164" s="130">
        <v>26562</v>
      </c>
      <c r="L164" s="87"/>
      <c r="M164" s="87">
        <v>24894</v>
      </c>
      <c r="N164" s="131">
        <f>160000+10000</f>
        <v>170000</v>
      </c>
      <c r="O164" s="131">
        <f>160000+10000</f>
        <v>170000</v>
      </c>
      <c r="P164" s="131">
        <f t="shared" si="7"/>
        <v>2986539</v>
      </c>
    </row>
    <row r="165" spans="1:16" ht="26.25" thickBot="1">
      <c r="A165" s="89">
        <v>7600000</v>
      </c>
      <c r="B165" s="41"/>
      <c r="C165" s="42"/>
      <c r="D165" s="177" t="s">
        <v>366</v>
      </c>
      <c r="E165" s="8">
        <f>SUM(E166)</f>
        <v>1000000</v>
      </c>
      <c r="F165" s="8">
        <f>SUM(F166)</f>
        <v>0</v>
      </c>
      <c r="G165" s="8">
        <f>SUM(G166)</f>
        <v>0</v>
      </c>
      <c r="H165" s="8">
        <f>SUM(H166)</f>
        <v>0</v>
      </c>
      <c r="I165" s="8">
        <f>SUM(I166)</f>
        <v>0</v>
      </c>
      <c r="J165" s="8">
        <f aca="true" t="shared" si="16" ref="J165:O165">SUM(J166:J167)</f>
        <v>200000</v>
      </c>
      <c r="K165" s="8">
        <f t="shared" si="16"/>
        <v>0</v>
      </c>
      <c r="L165" s="8">
        <f t="shared" si="16"/>
        <v>0</v>
      </c>
      <c r="M165" s="8">
        <f t="shared" si="16"/>
        <v>0</v>
      </c>
      <c r="N165" s="8">
        <f t="shared" si="16"/>
        <v>200000</v>
      </c>
      <c r="O165" s="8">
        <f t="shared" si="16"/>
        <v>200000</v>
      </c>
      <c r="P165" s="54">
        <f t="shared" si="7"/>
        <v>1200000</v>
      </c>
    </row>
    <row r="166" spans="1:16" ht="12.75">
      <c r="A166" s="36" t="s">
        <v>253</v>
      </c>
      <c r="B166" s="36" t="s">
        <v>254</v>
      </c>
      <c r="C166" s="36" t="s">
        <v>55</v>
      </c>
      <c r="D166" s="18" t="s">
        <v>31</v>
      </c>
      <c r="E166" s="46">
        <v>1000000</v>
      </c>
      <c r="F166" s="44"/>
      <c r="G166" s="44"/>
      <c r="H166" s="44"/>
      <c r="I166" s="44"/>
      <c r="J166" s="44"/>
      <c r="K166" s="44"/>
      <c r="L166" s="44"/>
      <c r="M166" s="44"/>
      <c r="N166" s="176"/>
      <c r="O166" s="176"/>
      <c r="P166" s="130">
        <f t="shared" si="7"/>
        <v>1000000</v>
      </c>
    </row>
    <row r="167" spans="1:16" ht="24.75" thickBot="1">
      <c r="A167" s="67" t="s">
        <v>367</v>
      </c>
      <c r="B167" s="67" t="s">
        <v>356</v>
      </c>
      <c r="C167" s="67" t="s">
        <v>59</v>
      </c>
      <c r="D167" s="68" t="s">
        <v>357</v>
      </c>
      <c r="E167" s="50"/>
      <c r="F167" s="50"/>
      <c r="G167" s="50"/>
      <c r="H167" s="50"/>
      <c r="I167" s="175"/>
      <c r="J167" s="60">
        <v>200000</v>
      </c>
      <c r="K167" s="102"/>
      <c r="L167" s="60"/>
      <c r="M167" s="60"/>
      <c r="N167" s="50">
        <v>200000</v>
      </c>
      <c r="O167" s="119">
        <v>200000</v>
      </c>
      <c r="P167" s="5">
        <f>SUM(E167,J167)</f>
        <v>200000</v>
      </c>
    </row>
    <row r="168" spans="1:16" ht="13.5" thickBot="1">
      <c r="A168" s="132"/>
      <c r="B168" s="132"/>
      <c r="C168" s="62"/>
      <c r="D168" s="62" t="s">
        <v>32</v>
      </c>
      <c r="E168" s="62">
        <f aca="true" t="shared" si="17" ref="E168:O168">SUM(E16,E32,E48,E57,E66,E83,E117,E122,E129,E139,E141,E158,E161,E163,E165)</f>
        <v>1427606795</v>
      </c>
      <c r="F168" s="62">
        <f t="shared" si="17"/>
        <v>1426606795</v>
      </c>
      <c r="G168" s="62">
        <f t="shared" si="17"/>
        <v>377744890</v>
      </c>
      <c r="H168" s="62">
        <f t="shared" si="17"/>
        <v>74627430</v>
      </c>
      <c r="I168" s="62">
        <f t="shared" si="17"/>
        <v>0</v>
      </c>
      <c r="J168" s="62">
        <f t="shared" si="17"/>
        <v>133905921</v>
      </c>
      <c r="K168" s="62">
        <f t="shared" si="17"/>
        <v>31499635</v>
      </c>
      <c r="L168" s="62">
        <f t="shared" si="17"/>
        <v>2326270</v>
      </c>
      <c r="M168" s="62">
        <f t="shared" si="17"/>
        <v>573762</v>
      </c>
      <c r="N168" s="62">
        <f t="shared" si="17"/>
        <v>102406286</v>
      </c>
      <c r="O168" s="62">
        <f t="shared" si="17"/>
        <v>100825726</v>
      </c>
      <c r="P168" s="54">
        <f t="shared" si="7"/>
        <v>1561512716</v>
      </c>
    </row>
    <row r="169" spans="1:16" ht="12.75">
      <c r="A169" s="133"/>
      <c r="B169" s="133"/>
      <c r="C169" s="134"/>
      <c r="D169" s="133"/>
      <c r="E169" s="10"/>
      <c r="F169" s="10"/>
      <c r="G169" s="10"/>
      <c r="H169" s="10"/>
      <c r="I169" s="10"/>
      <c r="J169" s="135"/>
      <c r="K169" s="135"/>
      <c r="L169" s="10"/>
      <c r="M169" s="10"/>
      <c r="N169" s="10"/>
      <c r="O169" s="14"/>
      <c r="P169" s="16"/>
    </row>
    <row r="170" spans="1:15" ht="12.75">
      <c r="A170" s="136"/>
      <c r="B170" s="136"/>
      <c r="C170" s="137"/>
      <c r="D170" s="136"/>
      <c r="E170" s="138"/>
      <c r="F170" s="138"/>
      <c r="G170" s="138"/>
      <c r="H170" s="138"/>
      <c r="I170" s="24"/>
      <c r="J170" s="138"/>
      <c r="K170" s="138"/>
      <c r="L170" s="138"/>
      <c r="M170" s="138"/>
      <c r="N170" s="138"/>
      <c r="O170" s="14"/>
    </row>
    <row r="171" spans="1:15" ht="12.75">
      <c r="A171" s="195" t="s">
        <v>371</v>
      </c>
      <c r="B171" s="195"/>
      <c r="C171" s="196"/>
      <c r="D171" s="196"/>
      <c r="E171" s="138"/>
      <c r="F171" s="138" t="s">
        <v>370</v>
      </c>
      <c r="G171" s="138"/>
      <c r="H171" s="138"/>
      <c r="I171" s="24"/>
      <c r="J171" s="24"/>
      <c r="K171" s="24"/>
      <c r="L171" s="24"/>
      <c r="M171" s="24"/>
      <c r="N171" s="24"/>
      <c r="O171" s="139"/>
    </row>
    <row r="172" spans="1:15" ht="12.75">
      <c r="A172" s="22"/>
      <c r="B172" s="22"/>
      <c r="C172" s="140"/>
      <c r="D172" s="22"/>
      <c r="E172" s="138"/>
      <c r="F172" s="24"/>
      <c r="G172" s="24"/>
      <c r="H172" s="24"/>
      <c r="I172" s="24"/>
      <c r="J172" s="24"/>
      <c r="K172" s="24"/>
      <c r="L172" s="24"/>
      <c r="M172" s="24"/>
      <c r="N172" s="24"/>
      <c r="O172" s="139"/>
    </row>
    <row r="173" spans="1:15" ht="17.25" customHeight="1">
      <c r="A173" s="22"/>
      <c r="B173" s="22"/>
      <c r="C173" s="140"/>
      <c r="D173" s="22"/>
      <c r="E173" s="138"/>
      <c r="F173" s="24"/>
      <c r="G173" s="24"/>
      <c r="H173" s="24"/>
      <c r="I173" s="24"/>
      <c r="J173" s="24"/>
      <c r="K173" s="24"/>
      <c r="L173" s="24"/>
      <c r="M173" s="24"/>
      <c r="N173" s="24"/>
      <c r="O173" s="139"/>
    </row>
    <row r="174" spans="1:15" ht="12.75">
      <c r="A174" s="133"/>
      <c r="B174" s="133"/>
      <c r="C174" s="134"/>
      <c r="D174" s="133"/>
      <c r="E174" s="10"/>
      <c r="F174" s="24"/>
      <c r="G174" s="24"/>
      <c r="H174" s="24"/>
      <c r="I174" s="24"/>
      <c r="J174" s="24"/>
      <c r="K174" s="24"/>
      <c r="L174" s="24"/>
      <c r="M174" s="24"/>
      <c r="N174" s="24"/>
      <c r="O174" s="14"/>
    </row>
    <row r="175" spans="1:15" ht="12.75">
      <c r="A175" s="141"/>
      <c r="B175" s="141"/>
      <c r="C175" s="142"/>
      <c r="D175" s="141"/>
      <c r="E175" s="138"/>
      <c r="F175" s="24"/>
      <c r="G175" s="24"/>
      <c r="H175" s="24"/>
      <c r="I175" s="24"/>
      <c r="J175" s="24"/>
      <c r="K175" s="24"/>
      <c r="L175" s="24"/>
      <c r="M175" s="24"/>
      <c r="N175" s="24"/>
      <c r="O175" s="139"/>
    </row>
    <row r="176" spans="1:15" ht="12.75">
      <c r="A176" s="141"/>
      <c r="B176" s="141"/>
      <c r="C176" s="142"/>
      <c r="D176" s="141"/>
      <c r="E176" s="138"/>
      <c r="F176" s="24"/>
      <c r="G176" s="24"/>
      <c r="H176" s="24"/>
      <c r="I176" s="24"/>
      <c r="J176" s="24"/>
      <c r="K176" s="24"/>
      <c r="L176" s="24"/>
      <c r="M176" s="24"/>
      <c r="N176" s="24"/>
      <c r="O176" s="139"/>
    </row>
    <row r="177" spans="1:15" ht="29.25" customHeight="1">
      <c r="A177" s="143"/>
      <c r="B177" s="143"/>
      <c r="C177" s="142"/>
      <c r="D177" s="143"/>
      <c r="E177" s="144"/>
      <c r="F177" s="24"/>
      <c r="G177" s="24"/>
      <c r="H177" s="24"/>
      <c r="I177" s="24"/>
      <c r="J177" s="24"/>
      <c r="K177" s="24"/>
      <c r="L177" s="24"/>
      <c r="M177" s="24"/>
      <c r="N177" s="24"/>
      <c r="O177" s="139"/>
    </row>
    <row r="178" spans="1:15" s="104" customFormat="1" ht="15" customHeight="1">
      <c r="A178" s="145"/>
      <c r="B178" s="145"/>
      <c r="C178" s="146"/>
      <c r="D178" s="145"/>
      <c r="E178" s="23"/>
      <c r="F178" s="23"/>
      <c r="G178" s="23"/>
      <c r="H178" s="23"/>
      <c r="I178" s="23"/>
      <c r="J178" s="23"/>
      <c r="K178" s="23"/>
      <c r="L178" s="23"/>
      <c r="M178" s="23"/>
      <c r="N178" s="23"/>
      <c r="O178" s="147"/>
    </row>
    <row r="179" spans="1:15" s="24" customFormat="1" ht="28.5" customHeight="1">
      <c r="A179" s="148"/>
      <c r="B179" s="148"/>
      <c r="C179" s="134"/>
      <c r="D179" s="148"/>
      <c r="E179" s="10"/>
      <c r="O179" s="139"/>
    </row>
    <row r="180" spans="1:15" ht="16.5" customHeight="1">
      <c r="A180" s="149"/>
      <c r="B180" s="149"/>
      <c r="C180" s="150"/>
      <c r="D180" s="149"/>
      <c r="E180" s="25"/>
      <c r="F180" s="24"/>
      <c r="G180" s="24"/>
      <c r="H180" s="25"/>
      <c r="I180" s="25"/>
      <c r="J180" s="25"/>
      <c r="K180" s="25"/>
      <c r="L180" s="25"/>
      <c r="M180" s="25"/>
      <c r="N180" s="25"/>
      <c r="O180" s="25"/>
    </row>
    <row r="181" spans="1:15" ht="14.25" customHeight="1">
      <c r="A181" s="151"/>
      <c r="B181" s="151"/>
      <c r="C181" s="152"/>
      <c r="D181" s="151"/>
      <c r="E181" s="25"/>
      <c r="F181" s="24"/>
      <c r="G181" s="24"/>
      <c r="H181" s="26"/>
      <c r="I181" s="26"/>
      <c r="J181" s="25"/>
      <c r="K181" s="25"/>
      <c r="L181" s="25"/>
      <c r="M181" s="26"/>
      <c r="N181" s="26"/>
      <c r="O181" s="139"/>
    </row>
    <row r="182" spans="1:15" ht="12.75">
      <c r="A182" s="133"/>
      <c r="B182" s="133"/>
      <c r="C182" s="134"/>
      <c r="D182" s="133"/>
      <c r="E182" s="10"/>
      <c r="F182" s="24"/>
      <c r="G182" s="24"/>
      <c r="H182" s="14"/>
      <c r="I182" s="14"/>
      <c r="J182" s="14"/>
      <c r="K182" s="14"/>
      <c r="L182" s="14"/>
      <c r="M182" s="14"/>
      <c r="N182" s="153"/>
      <c r="O182" s="14"/>
    </row>
    <row r="183" spans="1:15" ht="12.75">
      <c r="A183" s="133"/>
      <c r="B183" s="133"/>
      <c r="C183" s="134"/>
      <c r="D183" s="133"/>
      <c r="E183" s="10"/>
      <c r="F183" s="24"/>
      <c r="G183" s="24"/>
      <c r="H183" s="14"/>
      <c r="I183" s="14"/>
      <c r="J183" s="24"/>
      <c r="K183" s="24"/>
      <c r="L183" s="14"/>
      <c r="M183" s="14"/>
      <c r="N183" s="14"/>
      <c r="O183" s="14"/>
    </row>
    <row r="184" spans="1:15" ht="12.75">
      <c r="A184" s="145"/>
      <c r="B184" s="145"/>
      <c r="C184" s="146"/>
      <c r="D184" s="145"/>
      <c r="E184" s="25"/>
      <c r="F184" s="25"/>
      <c r="G184" s="25"/>
      <c r="H184" s="25"/>
      <c r="I184" s="25"/>
      <c r="J184" s="25"/>
      <c r="K184" s="25"/>
      <c r="L184" s="25"/>
      <c r="M184" s="25"/>
      <c r="N184" s="25"/>
      <c r="O184" s="25"/>
    </row>
    <row r="185" spans="1:15" s="24" customFormat="1" ht="12.75">
      <c r="A185" s="154"/>
      <c r="B185" s="154"/>
      <c r="C185" s="142"/>
      <c r="D185" s="154"/>
      <c r="E185" s="10"/>
      <c r="F185" s="10"/>
      <c r="G185" s="10"/>
      <c r="H185" s="21"/>
      <c r="I185" s="21"/>
      <c r="J185" s="21"/>
      <c r="K185" s="21"/>
      <c r="L185" s="21"/>
      <c r="M185" s="21"/>
      <c r="N185" s="21"/>
      <c r="O185" s="139"/>
    </row>
    <row r="186" s="24" customFormat="1" ht="12.75"/>
    <row r="187" spans="1:15" ht="12.75">
      <c r="A187" s="155"/>
      <c r="B187" s="155"/>
      <c r="C187" s="24"/>
      <c r="D187" s="155"/>
      <c r="E187" s="23"/>
      <c r="F187" s="23"/>
      <c r="G187" s="23"/>
      <c r="H187" s="27"/>
      <c r="I187" s="23"/>
      <c r="J187" s="23"/>
      <c r="K187" s="23"/>
      <c r="L187" s="23"/>
      <c r="M187" s="23"/>
      <c r="N187" s="23"/>
      <c r="O187" s="27"/>
    </row>
    <row r="189" spans="3:6" ht="12.75">
      <c r="C189" s="16"/>
      <c r="D189" s="16"/>
      <c r="E189" s="16"/>
      <c r="F189" s="16"/>
    </row>
    <row r="190" spans="3:11" ht="12.75">
      <c r="C190" s="156"/>
      <c r="D190" s="16"/>
      <c r="E190" s="16"/>
      <c r="F190" s="16"/>
      <c r="G190" s="16"/>
      <c r="H190" s="16"/>
      <c r="I190" s="16"/>
      <c r="J190" s="16"/>
      <c r="K190" s="16"/>
    </row>
    <row r="193" spans="6:10" ht="12.75">
      <c r="F193" s="16"/>
      <c r="G193" s="16"/>
      <c r="H193" s="16"/>
      <c r="I193" s="16"/>
      <c r="J193" s="16"/>
    </row>
  </sheetData>
  <sheetProtection/>
  <mergeCells count="31">
    <mergeCell ref="P88:P89"/>
    <mergeCell ref="A171:D171"/>
    <mergeCell ref="G88:G89"/>
    <mergeCell ref="H88:H89"/>
    <mergeCell ref="I88:I89"/>
    <mergeCell ref="J88:J89"/>
    <mergeCell ref="K88:K89"/>
    <mergeCell ref="P11:P14"/>
    <mergeCell ref="G12:H12"/>
    <mergeCell ref="I12:I14"/>
    <mergeCell ref="J12:J14"/>
    <mergeCell ref="K12:K14"/>
    <mergeCell ref="G13:G14"/>
    <mergeCell ref="E11:I11"/>
    <mergeCell ref="E12:E14"/>
    <mergeCell ref="F12:F14"/>
    <mergeCell ref="O13:O14"/>
    <mergeCell ref="M88:M89"/>
    <mergeCell ref="N88:N89"/>
    <mergeCell ref="L88:L89"/>
    <mergeCell ref="O88:O89"/>
    <mergeCell ref="J11:O11"/>
    <mergeCell ref="A11:A14"/>
    <mergeCell ref="B11:B14"/>
    <mergeCell ref="C11:C14"/>
    <mergeCell ref="D11:D14"/>
    <mergeCell ref="L13:L14"/>
    <mergeCell ref="M13:M14"/>
    <mergeCell ref="L12:M12"/>
    <mergeCell ref="N12:N14"/>
    <mergeCell ref="H13:H14"/>
  </mergeCells>
  <printOptions/>
  <pageMargins left="0.51" right="0.34" top="0.4" bottom="0.7480314960629921"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Lubov</cp:lastModifiedBy>
  <cp:lastPrinted>2017-04-18T09:20:19Z</cp:lastPrinted>
  <dcterms:created xsi:type="dcterms:W3CDTF">2002-01-31T05:59:03Z</dcterms:created>
  <dcterms:modified xsi:type="dcterms:W3CDTF">2017-04-19T11:42:17Z</dcterms:modified>
  <cp:category/>
  <cp:version/>
  <cp:contentType/>
  <cp:contentStatus/>
</cp:coreProperties>
</file>